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kane\Google Drive\My Files\NYS School Funding Transparency (Expenses Per Building)\2020-21 Transparency Report FINAL - BUDGET - 2nd Submission\Final Report\"/>
    </mc:Choice>
  </mc:AlternateContent>
  <xr:revisionPtr revIDLastSave="0" documentId="13_ncr:1_{CDC8F344-E27C-4B7A-8E9F-CE52DA3B63B8}" xr6:coauthVersionLast="36" xr6:coauthVersionMax="45" xr10:uidLastSave="{00000000-0000-0000-0000-000000000000}"/>
  <bookViews>
    <workbookView xWindow="-120" yWindow="-120" windowWidth="29040" windowHeight="15840" tabRatio="914" xr2:uid="{64366B8D-2769-4825-8011-7FFB8FDA99DC}"/>
  </bookViews>
  <sheets>
    <sheet name="Data Form" sheetId="9" r:id="rId1"/>
    <sheet name="Fringe Benefits" sheetId="11" r:id="rId2"/>
    <sheet name="Summary Data Part A" sheetId="10" r:id="rId3"/>
    <sheet name="Summary Data Part C" sheetId="12" r:id="rId4"/>
    <sheet name="Part A Format" sheetId="4" r:id="rId5"/>
    <sheet name=" Part B Format" sheetId="5" r:id="rId6"/>
    <sheet name="Part C Format" sheetId="6" r:id="rId7"/>
    <sheet name="Part D Format" sheetId="7" r:id="rId8"/>
    <sheet name="Part E Format" sheetId="8" r:id="rId9"/>
  </sheets>
  <definedNames>
    <definedName name="Funding">'Fringe Benefits'!$I$23:$I$24</definedName>
    <definedName name="General">'Fringe Benefits'!$E$23:$E$52</definedName>
    <definedName name="Object">'Fringe Benefits'!$G$23:$G$27</definedName>
    <definedName name="_xlnm.Print_Area" localSheetId="2">'Summary Data Part A'!$A$1:$N$100</definedName>
    <definedName name="Purpose">'Fringe Benefits'!$H$23:$H$29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0" l="1"/>
  <c r="J93" i="10"/>
  <c r="I622" i="9" l="1"/>
  <c r="I624" i="9"/>
  <c r="I692" i="9" l="1"/>
  <c r="U8" i="5" l="1"/>
  <c r="U9" i="5"/>
  <c r="S12" i="5"/>
  <c r="S11" i="5"/>
  <c r="S9" i="5"/>
  <c r="S8" i="5"/>
  <c r="V9" i="5"/>
  <c r="V8" i="5"/>
  <c r="V12" i="5"/>
  <c r="V11" i="5"/>
  <c r="V10" i="5"/>
  <c r="R4" i="9" l="1"/>
  <c r="L431" i="9"/>
  <c r="L670" i="9" l="1"/>
  <c r="O670" i="9" s="1"/>
  <c r="M665" i="9"/>
  <c r="P664" i="9"/>
  <c r="O663" i="9"/>
  <c r="N662" i="9"/>
  <c r="M661" i="9"/>
  <c r="L660" i="9"/>
  <c r="M655" i="9"/>
  <c r="P654" i="9"/>
  <c r="O654" i="9"/>
  <c r="M653" i="9"/>
  <c r="O652" i="9"/>
  <c r="M648" i="9"/>
  <c r="M646" i="9"/>
  <c r="M645" i="9"/>
  <c r="P644" i="9"/>
  <c r="P643" i="9"/>
  <c r="O642" i="9"/>
  <c r="O641" i="9"/>
  <c r="O640" i="9"/>
  <c r="M639" i="9"/>
  <c r="M638" i="9"/>
  <c r="M575" i="9"/>
  <c r="L575" i="9"/>
  <c r="M574" i="9"/>
  <c r="L574" i="9"/>
  <c r="M573" i="9"/>
  <c r="L573" i="9"/>
  <c r="M572" i="9"/>
  <c r="L572" i="9"/>
  <c r="M571" i="9"/>
  <c r="L571" i="9"/>
  <c r="M570" i="9"/>
  <c r="L570" i="9"/>
  <c r="M569" i="9"/>
  <c r="L569" i="9"/>
  <c r="M568" i="9"/>
  <c r="L568" i="9"/>
  <c r="M567" i="9"/>
  <c r="L567" i="9"/>
  <c r="M566" i="9"/>
  <c r="L566" i="9"/>
  <c r="M565" i="9"/>
  <c r="L565" i="9"/>
  <c r="M564" i="9"/>
  <c r="L564" i="9"/>
  <c r="L563" i="9"/>
  <c r="L562" i="9"/>
  <c r="P561" i="9"/>
  <c r="O560" i="9"/>
  <c r="N559" i="9"/>
  <c r="M558" i="9"/>
  <c r="L557" i="9"/>
  <c r="P555" i="9"/>
  <c r="M554" i="9"/>
  <c r="L553" i="9"/>
  <c r="N551" i="9"/>
  <c r="M550" i="9"/>
  <c r="L549" i="9"/>
  <c r="P543" i="9"/>
  <c r="P542" i="9"/>
  <c r="O541" i="9"/>
  <c r="O540" i="9"/>
  <c r="N539" i="9"/>
  <c r="N538" i="9"/>
  <c r="M537" i="9"/>
  <c r="M536" i="9"/>
  <c r="L535" i="9"/>
  <c r="L534" i="9"/>
  <c r="L533" i="9"/>
  <c r="M532" i="9"/>
  <c r="L531" i="9"/>
  <c r="M530" i="9"/>
  <c r="L529" i="9"/>
  <c r="L528" i="9"/>
  <c r="L527" i="9"/>
  <c r="P525" i="9"/>
  <c r="O524" i="9"/>
  <c r="N523" i="9"/>
  <c r="M522" i="9"/>
  <c r="L521" i="9"/>
  <c r="L517" i="9"/>
  <c r="O516" i="9"/>
  <c r="M515" i="9"/>
  <c r="M514" i="9"/>
  <c r="L513" i="9"/>
  <c r="L511" i="9"/>
  <c r="P510" i="9"/>
  <c r="O509" i="9"/>
  <c r="N508" i="9"/>
  <c r="L506" i="9"/>
  <c r="P505" i="9"/>
  <c r="O504" i="9"/>
  <c r="N503" i="9"/>
  <c r="M502" i="9"/>
  <c r="L501" i="9"/>
  <c r="O499" i="9"/>
  <c r="N498" i="9"/>
  <c r="L497" i="9"/>
  <c r="P494" i="9"/>
  <c r="P493" i="9"/>
  <c r="O492" i="9"/>
  <c r="O491" i="9"/>
  <c r="N490" i="9"/>
  <c r="N489" i="9"/>
  <c r="M488" i="9"/>
  <c r="M487" i="9"/>
  <c r="L486" i="9"/>
  <c r="L485" i="9"/>
  <c r="P483" i="9"/>
  <c r="O482" i="9"/>
  <c r="N481" i="9"/>
  <c r="L480" i="9"/>
  <c r="P479" i="9"/>
  <c r="O478" i="9"/>
  <c r="N477" i="9"/>
  <c r="M476" i="9"/>
  <c r="L475" i="9"/>
  <c r="P474" i="9"/>
  <c r="O473" i="9"/>
  <c r="N472" i="9"/>
  <c r="M471" i="9"/>
  <c r="L470" i="9"/>
  <c r="P469" i="9"/>
  <c r="O468" i="9"/>
  <c r="N467" i="9"/>
  <c r="M466" i="9"/>
  <c r="L465" i="9"/>
  <c r="P464" i="9"/>
  <c r="O463" i="9"/>
  <c r="N462" i="9"/>
  <c r="M461" i="9"/>
  <c r="L460" i="9"/>
  <c r="M457" i="9"/>
  <c r="L456" i="9"/>
  <c r="P453" i="9"/>
  <c r="O452" i="9"/>
  <c r="N451" i="9"/>
  <c r="M450" i="9"/>
  <c r="M449" i="9"/>
  <c r="L448" i="9"/>
  <c r="L447" i="9"/>
  <c r="P446" i="9"/>
  <c r="O445" i="9"/>
  <c r="N444" i="9"/>
  <c r="M443" i="9"/>
  <c r="L442" i="9"/>
  <c r="M430" i="9"/>
  <c r="M429" i="9"/>
  <c r="P428" i="9"/>
  <c r="O427" i="9"/>
  <c r="N426" i="9"/>
  <c r="P420" i="9"/>
  <c r="O419" i="9"/>
  <c r="N418" i="9"/>
  <c r="M417" i="9"/>
  <c r="M416" i="9"/>
  <c r="L415" i="9"/>
  <c r="L414" i="9"/>
  <c r="P403" i="9"/>
  <c r="O402" i="9"/>
  <c r="N401" i="9"/>
  <c r="M400" i="9"/>
  <c r="L399" i="9"/>
  <c r="L398" i="9"/>
  <c r="P397" i="9"/>
  <c r="P396" i="9"/>
  <c r="P395" i="9"/>
  <c r="O394" i="9"/>
  <c r="O393" i="9"/>
  <c r="O392" i="9"/>
  <c r="N391" i="9"/>
  <c r="N390" i="9"/>
  <c r="N389" i="9"/>
  <c r="M388" i="9"/>
  <c r="M387" i="9"/>
  <c r="M386" i="9"/>
  <c r="L385" i="9"/>
  <c r="L384" i="9"/>
  <c r="L383" i="9"/>
  <c r="P381" i="9"/>
  <c r="O380" i="9"/>
  <c r="O379" i="9"/>
  <c r="N378" i="9"/>
  <c r="M377" i="9"/>
  <c r="L376" i="9"/>
  <c r="L375" i="9"/>
  <c r="L382" i="9"/>
  <c r="P372" i="9"/>
  <c r="P371" i="9"/>
  <c r="P370" i="9"/>
  <c r="O369" i="9"/>
  <c r="O368" i="9"/>
  <c r="O367" i="9"/>
  <c r="N366" i="9"/>
  <c r="N365" i="9"/>
  <c r="N364" i="9"/>
  <c r="M363" i="9"/>
  <c r="M362" i="9"/>
  <c r="M361" i="9"/>
  <c r="M360" i="9"/>
  <c r="M359" i="9"/>
  <c r="M358" i="9"/>
  <c r="M357" i="9"/>
  <c r="L356" i="9"/>
  <c r="L355" i="9"/>
  <c r="L354" i="9"/>
  <c r="L353" i="9"/>
  <c r="L352" i="9"/>
  <c r="L351" i="9"/>
  <c r="L350" i="9"/>
  <c r="L349" i="9"/>
  <c r="L348" i="9"/>
  <c r="L347" i="9"/>
  <c r="L346" i="9"/>
  <c r="N342" i="9"/>
  <c r="M341" i="9"/>
  <c r="M340" i="9"/>
  <c r="M339" i="9"/>
  <c r="M338" i="9"/>
  <c r="L337" i="9"/>
  <c r="L336" i="9"/>
  <c r="L335" i="9"/>
  <c r="L334" i="9"/>
  <c r="L333" i="9"/>
  <c r="P332" i="9"/>
  <c r="O331" i="9"/>
  <c r="N330" i="9"/>
  <c r="M329" i="9"/>
  <c r="L328" i="9"/>
  <c r="P326" i="9"/>
  <c r="P325" i="9"/>
  <c r="P324" i="9"/>
  <c r="P323" i="9"/>
  <c r="O322" i="9"/>
  <c r="O321" i="9"/>
  <c r="O320" i="9"/>
  <c r="O319" i="9"/>
  <c r="N318" i="9"/>
  <c r="N317" i="9"/>
  <c r="N316" i="9"/>
  <c r="N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P287" i="9"/>
  <c r="P286" i="9"/>
  <c r="O285" i="9"/>
  <c r="O284" i="9"/>
  <c r="N283" i="9"/>
  <c r="N282" i="9"/>
  <c r="M281" i="9"/>
  <c r="M280" i="9"/>
  <c r="L279" i="9"/>
  <c r="L278" i="9"/>
  <c r="L277" i="9"/>
  <c r="L276" i="9"/>
  <c r="L275" i="9"/>
  <c r="P274" i="9"/>
  <c r="O273" i="9"/>
  <c r="N272" i="9"/>
  <c r="M271" i="9"/>
  <c r="L270" i="9"/>
  <c r="P263" i="9"/>
  <c r="O260" i="9"/>
  <c r="M259" i="9"/>
  <c r="L258" i="9"/>
  <c r="O256" i="9"/>
  <c r="N255" i="9"/>
  <c r="M254" i="9"/>
  <c r="L253" i="9"/>
  <c r="P252" i="9"/>
  <c r="P250" i="9"/>
  <c r="P249" i="9"/>
  <c r="O248" i="9"/>
  <c r="O247" i="9"/>
  <c r="N246" i="9"/>
  <c r="M245" i="9"/>
  <c r="M244" i="9"/>
  <c r="M243" i="9"/>
  <c r="M242" i="9"/>
  <c r="M241" i="9"/>
  <c r="L240" i="9"/>
  <c r="L239" i="9"/>
  <c r="L238" i="9"/>
  <c r="L237" i="9"/>
  <c r="L236" i="9"/>
  <c r="O235" i="9"/>
  <c r="N234" i="9"/>
  <c r="N233" i="9"/>
  <c r="M232" i="9"/>
  <c r="M231" i="9"/>
  <c r="M230" i="9"/>
  <c r="M229" i="9"/>
  <c r="L228" i="9"/>
  <c r="L227" i="9"/>
  <c r="L226" i="9"/>
  <c r="L225" i="9"/>
  <c r="P224" i="9"/>
  <c r="O223" i="9"/>
  <c r="N222" i="9"/>
  <c r="M221" i="9"/>
  <c r="M220" i="9"/>
  <c r="L219" i="9"/>
  <c r="L218" i="9"/>
  <c r="P217" i="9"/>
  <c r="O216" i="9"/>
  <c r="N215" i="9"/>
  <c r="P214" i="9"/>
  <c r="O213" i="9"/>
  <c r="M212" i="9"/>
  <c r="L211" i="9"/>
  <c r="P210" i="9"/>
  <c r="P209" i="9"/>
  <c r="O208" i="9"/>
  <c r="O207" i="9"/>
  <c r="N206" i="9"/>
  <c r="N205" i="9"/>
  <c r="M204" i="9"/>
  <c r="M203" i="9"/>
  <c r="L202" i="9"/>
  <c r="L201" i="9"/>
  <c r="M200" i="9"/>
  <c r="L199" i="9"/>
  <c r="M198" i="9"/>
  <c r="M197" i="9"/>
  <c r="L196" i="9"/>
  <c r="L195" i="9"/>
  <c r="P194" i="9"/>
  <c r="O193" i="9"/>
  <c r="N192" i="9"/>
  <c r="P191" i="9"/>
  <c r="P190" i="9"/>
  <c r="O189" i="9"/>
  <c r="O188" i="9"/>
  <c r="N187" i="9"/>
  <c r="N186" i="9"/>
  <c r="P185" i="9"/>
  <c r="O184" i="9"/>
  <c r="N183" i="9"/>
  <c r="P182" i="9"/>
  <c r="O181" i="9"/>
  <c r="N180" i="9"/>
  <c r="P171" i="9"/>
  <c r="O170" i="9"/>
  <c r="N169" i="9"/>
  <c r="M168" i="9"/>
  <c r="L167" i="9"/>
  <c r="O165" i="9"/>
  <c r="M164" i="9"/>
  <c r="L163" i="9"/>
  <c r="L162" i="9"/>
  <c r="P160" i="9"/>
  <c r="P159" i="9"/>
  <c r="O158" i="9"/>
  <c r="O157" i="9"/>
  <c r="N156" i="9"/>
  <c r="N155" i="9"/>
  <c r="P154" i="9"/>
  <c r="O153" i="9"/>
  <c r="N152" i="9"/>
  <c r="M151" i="9"/>
  <c r="L150" i="9"/>
  <c r="M149" i="9"/>
  <c r="L149" i="9"/>
  <c r="P148" i="9"/>
  <c r="P147" i="9"/>
  <c r="O146" i="9"/>
  <c r="O145" i="9"/>
  <c r="N144" i="9"/>
  <c r="N143" i="9"/>
  <c r="M142" i="9"/>
  <c r="M141" i="9"/>
  <c r="L140" i="9"/>
  <c r="L139" i="9"/>
  <c r="Q4" i="9"/>
  <c r="P404" i="9" s="1"/>
  <c r="P137" i="9"/>
  <c r="O136" i="9"/>
  <c r="N135" i="9"/>
  <c r="M134" i="9"/>
  <c r="L133" i="9"/>
  <c r="N166" i="9" l="1"/>
  <c r="O166" i="9"/>
  <c r="L161" i="9"/>
  <c r="O161" i="9"/>
  <c r="L166" i="9"/>
  <c r="P161" i="9"/>
  <c r="M166" i="9"/>
  <c r="M161" i="9"/>
  <c r="P166" i="9"/>
  <c r="N264" i="9"/>
  <c r="O265" i="9"/>
  <c r="M269" i="9"/>
  <c r="N161" i="9"/>
  <c r="O264" i="9"/>
  <c r="P265" i="9"/>
  <c r="M268" i="9"/>
  <c r="N269" i="9"/>
  <c r="L404" i="9"/>
  <c r="P264" i="9"/>
  <c r="N268" i="9"/>
  <c r="O269" i="9"/>
  <c r="M404" i="9"/>
  <c r="L265" i="9"/>
  <c r="O268" i="9"/>
  <c r="P269" i="9"/>
  <c r="N404" i="9"/>
  <c r="L264" i="9"/>
  <c r="M265" i="9"/>
  <c r="L268" i="9"/>
  <c r="P268" i="9"/>
  <c r="O404" i="9"/>
  <c r="M264" i="9"/>
  <c r="N265" i="9"/>
  <c r="L269" i="9"/>
  <c r="D676" i="9"/>
  <c r="D652" i="9"/>
  <c r="D642" i="9"/>
  <c r="D653" i="9"/>
  <c r="D646" i="9"/>
  <c r="D644" i="9"/>
  <c r="D641" i="9"/>
  <c r="D639" i="9"/>
  <c r="D659" i="9"/>
  <c r="D658" i="9"/>
  <c r="D657" i="9"/>
  <c r="D656" i="9"/>
  <c r="D655" i="9"/>
  <c r="D654" i="9"/>
  <c r="D647" i="9"/>
  <c r="D645" i="9"/>
  <c r="D643" i="9"/>
  <c r="D640" i="9"/>
  <c r="D638" i="9"/>
  <c r="D682" i="9"/>
  <c r="D679" i="9"/>
  <c r="D681" i="9"/>
  <c r="D680" i="9"/>
  <c r="D678" i="9"/>
  <c r="D677" i="9"/>
  <c r="D651" i="9"/>
  <c r="D650" i="9"/>
  <c r="D649" i="9"/>
  <c r="D648" i="9"/>
  <c r="D675" i="9"/>
  <c r="D674" i="9"/>
  <c r="D673" i="9"/>
  <c r="D672" i="9"/>
  <c r="D669" i="9"/>
  <c r="D667" i="9"/>
  <c r="D671" i="9"/>
  <c r="D670" i="9"/>
  <c r="D668" i="9"/>
  <c r="D666" i="9"/>
  <c r="D665" i="9"/>
  <c r="D664" i="9"/>
  <c r="D663" i="9"/>
  <c r="D662" i="9"/>
  <c r="D661" i="9"/>
  <c r="D660" i="9"/>
  <c r="D626" i="9"/>
  <c r="D625" i="9"/>
  <c r="D604" i="9"/>
  <c r="D624" i="9"/>
  <c r="D623" i="9"/>
  <c r="D622" i="9"/>
  <c r="D621" i="9"/>
  <c r="D587" i="9"/>
  <c r="D620" i="9"/>
  <c r="D603" i="9"/>
  <c r="D619" i="9"/>
  <c r="D618" i="9"/>
  <c r="D602" i="9"/>
  <c r="D617" i="9"/>
  <c r="D35" i="9"/>
  <c r="D575" i="9"/>
  <c r="D573" i="9"/>
  <c r="D572" i="9"/>
  <c r="D574" i="9"/>
  <c r="D571" i="9"/>
  <c r="D570" i="9"/>
  <c r="D569" i="9"/>
  <c r="D568" i="9"/>
  <c r="D567" i="9"/>
  <c r="D565" i="9"/>
  <c r="D566" i="9"/>
  <c r="D564" i="9"/>
  <c r="D563" i="9"/>
  <c r="D561" i="9"/>
  <c r="D560" i="9"/>
  <c r="D559" i="9"/>
  <c r="D558" i="9"/>
  <c r="D562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07" i="9"/>
  <c r="D506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2" i="9"/>
  <c r="D511" i="9"/>
  <c r="D510" i="9"/>
  <c r="D516" i="9"/>
  <c r="D509" i="9"/>
  <c r="D508" i="9"/>
  <c r="D515" i="9"/>
  <c r="D514" i="9"/>
  <c r="D513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59" i="9"/>
  <c r="D474" i="9"/>
  <c r="D469" i="9"/>
  <c r="D464" i="9"/>
  <c r="D473" i="9"/>
  <c r="D468" i="9"/>
  <c r="D463" i="9"/>
  <c r="D472" i="9"/>
  <c r="D467" i="9"/>
  <c r="D462" i="9"/>
  <c r="D471" i="9"/>
  <c r="D466" i="9"/>
  <c r="D461" i="9"/>
  <c r="D470" i="9"/>
  <c r="D465" i="9"/>
  <c r="D460" i="9"/>
  <c r="D458" i="9"/>
  <c r="D483" i="9"/>
  <c r="D479" i="9"/>
  <c r="D482" i="9"/>
  <c r="D478" i="9"/>
  <c r="D481" i="9"/>
  <c r="D477" i="9"/>
  <c r="D476" i="9"/>
  <c r="D480" i="9"/>
  <c r="D475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25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398" i="9"/>
  <c r="D403" i="9"/>
  <c r="D397" i="9"/>
  <c r="D396" i="9"/>
  <c r="D395" i="9"/>
  <c r="D402" i="9"/>
  <c r="D394" i="9"/>
  <c r="D393" i="9"/>
  <c r="D392" i="9"/>
  <c r="D401" i="9"/>
  <c r="D391" i="9"/>
  <c r="D390" i="9"/>
  <c r="D389" i="9"/>
  <c r="D400" i="9"/>
  <c r="D388" i="9"/>
  <c r="D387" i="9"/>
  <c r="D386" i="9"/>
  <c r="D399" i="9"/>
  <c r="D385" i="9"/>
  <c r="D384" i="9"/>
  <c r="D383" i="9"/>
  <c r="D382" i="9"/>
  <c r="D374" i="9"/>
  <c r="D373" i="9"/>
  <c r="D381" i="9"/>
  <c r="D380" i="9"/>
  <c r="D379" i="9"/>
  <c r="D378" i="9"/>
  <c r="D377" i="9"/>
  <c r="D376" i="9"/>
  <c r="D375" i="9"/>
  <c r="D372" i="9"/>
  <c r="D371" i="9"/>
  <c r="D370" i="9"/>
  <c r="D369" i="9"/>
  <c r="D368" i="9"/>
  <c r="D367" i="9"/>
  <c r="D366" i="9"/>
  <c r="D365" i="9"/>
  <c r="D364" i="9"/>
  <c r="D430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3" i="9"/>
  <c r="D327" i="9"/>
  <c r="D332" i="9"/>
  <c r="D326" i="9"/>
  <c r="D325" i="9"/>
  <c r="D324" i="9"/>
  <c r="D323" i="9"/>
  <c r="D331" i="9"/>
  <c r="D322" i="9"/>
  <c r="D321" i="9"/>
  <c r="D320" i="9"/>
  <c r="D319" i="9"/>
  <c r="D342" i="9"/>
  <c r="D330" i="9"/>
  <c r="D318" i="9"/>
  <c r="D317" i="9"/>
  <c r="D316" i="9"/>
  <c r="D315" i="9"/>
  <c r="D429" i="9"/>
  <c r="D341" i="9"/>
  <c r="D340" i="9"/>
  <c r="D339" i="9"/>
  <c r="D338" i="9"/>
  <c r="D333" i="9"/>
  <c r="D329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37" i="9"/>
  <c r="D336" i="9"/>
  <c r="D335" i="9"/>
  <c r="D334" i="9"/>
  <c r="D328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57" i="9"/>
  <c r="D251" i="9"/>
  <c r="D256" i="9"/>
  <c r="D252" i="9"/>
  <c r="D250" i="9"/>
  <c r="D249" i="9"/>
  <c r="D235" i="9"/>
  <c r="D248" i="9"/>
  <c r="D247" i="9"/>
  <c r="D255" i="9"/>
  <c r="D246" i="9"/>
  <c r="D234" i="9"/>
  <c r="D233" i="9"/>
  <c r="D254" i="9"/>
  <c r="D245" i="9"/>
  <c r="D244" i="9"/>
  <c r="D243" i="9"/>
  <c r="D242" i="9"/>
  <c r="D241" i="9"/>
  <c r="D232" i="9"/>
  <c r="D231" i="9"/>
  <c r="D230" i="9"/>
  <c r="D229" i="9"/>
  <c r="D253" i="9"/>
  <c r="D240" i="9"/>
  <c r="D239" i="9"/>
  <c r="D238" i="9"/>
  <c r="D237" i="9"/>
  <c r="D236" i="9"/>
  <c r="D228" i="9"/>
  <c r="D227" i="9"/>
  <c r="D226" i="9"/>
  <c r="D224" i="9"/>
  <c r="D217" i="9"/>
  <c r="D223" i="9"/>
  <c r="D216" i="9"/>
  <c r="D222" i="9"/>
  <c r="D215" i="9"/>
  <c r="D221" i="9"/>
  <c r="D220" i="9"/>
  <c r="D225" i="9"/>
  <c r="D219" i="9"/>
  <c r="D218" i="9"/>
  <c r="D210" i="9"/>
  <c r="D209" i="9"/>
  <c r="D208" i="9"/>
  <c r="D207" i="9"/>
  <c r="D206" i="9"/>
  <c r="D205" i="9"/>
  <c r="D204" i="9"/>
  <c r="D203" i="9"/>
  <c r="D202" i="9"/>
  <c r="D201" i="9"/>
  <c r="D200" i="9"/>
  <c r="D198" i="9"/>
  <c r="D197" i="9"/>
  <c r="D212" i="9"/>
  <c r="D199" i="9"/>
  <c r="D196" i="9"/>
  <c r="D195" i="9"/>
  <c r="D211" i="9"/>
  <c r="D428" i="9"/>
  <c r="D214" i="9"/>
  <c r="D194" i="9"/>
  <c r="D191" i="9"/>
  <c r="D190" i="9"/>
  <c r="D185" i="9"/>
  <c r="D182" i="9"/>
  <c r="D427" i="9"/>
  <c r="D213" i="9"/>
  <c r="D193" i="9"/>
  <c r="D189" i="9"/>
  <c r="D188" i="9"/>
  <c r="D184" i="9"/>
  <c r="D181" i="9"/>
  <c r="D426" i="9"/>
  <c r="D192" i="9"/>
  <c r="D187" i="9"/>
  <c r="D186" i="9"/>
  <c r="D183" i="9"/>
  <c r="D180" i="9"/>
  <c r="D171" i="9"/>
  <c r="D170" i="9"/>
  <c r="D169" i="9"/>
  <c r="D168" i="9"/>
  <c r="D167" i="9"/>
  <c r="D166" i="9"/>
  <c r="D161" i="9"/>
  <c r="D165" i="9"/>
  <c r="D164" i="9"/>
  <c r="D163" i="9"/>
  <c r="D162" i="9"/>
  <c r="D149" i="9"/>
  <c r="D160" i="9"/>
  <c r="D159" i="9"/>
  <c r="D154" i="9"/>
  <c r="D148" i="9"/>
  <c r="D147" i="9"/>
  <c r="D158" i="9"/>
  <c r="D157" i="9"/>
  <c r="D153" i="9"/>
  <c r="D146" i="9"/>
  <c r="D145" i="9"/>
  <c r="D156" i="9"/>
  <c r="D155" i="9"/>
  <c r="D152" i="9"/>
  <c r="D144" i="9"/>
  <c r="D143" i="9"/>
  <c r="D151" i="9"/>
  <c r="D142" i="9"/>
  <c r="D141" i="9"/>
  <c r="D150" i="9"/>
  <c r="D140" i="9"/>
  <c r="D139" i="9"/>
  <c r="D138" i="9"/>
  <c r="D132" i="9"/>
  <c r="D137" i="9"/>
  <c r="D136" i="9"/>
  <c r="D135" i="9"/>
  <c r="D134" i="9"/>
  <c r="D133" i="9"/>
  <c r="D637" i="9"/>
  <c r="D636" i="9"/>
  <c r="D635" i="9"/>
  <c r="D634" i="9"/>
  <c r="D633" i="9"/>
  <c r="D632" i="9"/>
  <c r="D631" i="9"/>
  <c r="D629" i="9"/>
  <c r="D630" i="9"/>
  <c r="D628" i="9"/>
  <c r="D62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1" i="9"/>
  <c r="D599" i="9"/>
  <c r="D598" i="9"/>
  <c r="D597" i="9"/>
  <c r="D596" i="9"/>
  <c r="D595" i="9"/>
  <c r="D594" i="9"/>
  <c r="D600" i="9"/>
  <c r="D593" i="9"/>
  <c r="D592" i="9"/>
  <c r="D591" i="9"/>
  <c r="D590" i="9"/>
  <c r="D589" i="9"/>
  <c r="D588" i="9"/>
  <c r="D586" i="9"/>
  <c r="D585" i="9"/>
  <c r="D584" i="9"/>
  <c r="D583" i="9"/>
  <c r="D582" i="9"/>
  <c r="D577" i="9"/>
  <c r="D576" i="9"/>
  <c r="D581" i="9"/>
  <c r="D580" i="9"/>
  <c r="D579" i="9"/>
  <c r="D578" i="9"/>
  <c r="D424" i="9"/>
  <c r="D423" i="9"/>
  <c r="D344" i="9"/>
  <c r="D288" i="9"/>
  <c r="D269" i="9"/>
  <c r="D268" i="9"/>
  <c r="D267" i="9"/>
  <c r="D266" i="9"/>
  <c r="D265" i="9"/>
  <c r="D264" i="9"/>
  <c r="D262" i="9"/>
  <c r="D261" i="9"/>
  <c r="D287" i="9"/>
  <c r="D286" i="9"/>
  <c r="D274" i="9"/>
  <c r="D263" i="9"/>
  <c r="D285" i="9"/>
  <c r="D284" i="9"/>
  <c r="D273" i="9"/>
  <c r="D260" i="9"/>
  <c r="D283" i="9"/>
  <c r="D282" i="9"/>
  <c r="D272" i="9"/>
  <c r="D281" i="9"/>
  <c r="D280" i="9"/>
  <c r="D271" i="9"/>
  <c r="D259" i="9"/>
  <c r="D289" i="9"/>
  <c r="D279" i="9"/>
  <c r="D278" i="9"/>
  <c r="D277" i="9"/>
  <c r="D276" i="9"/>
  <c r="D275" i="9"/>
  <c r="D270" i="9"/>
  <c r="D258" i="9"/>
  <c r="D179" i="9"/>
  <c r="D177" i="9"/>
  <c r="D178" i="9"/>
  <c r="D176" i="9"/>
  <c r="D175" i="9"/>
  <c r="D174" i="9"/>
  <c r="D173" i="9"/>
  <c r="D17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93" i="9"/>
  <c r="D92" i="9"/>
  <c r="D91" i="9"/>
  <c r="D90" i="9"/>
  <c r="D89" i="9"/>
  <c r="D88" i="9"/>
  <c r="D107" i="9"/>
  <c r="D106" i="9"/>
  <c r="D100" i="9"/>
  <c r="D87" i="9"/>
  <c r="D105" i="9"/>
  <c r="D99" i="9"/>
  <c r="D104" i="9"/>
  <c r="D98" i="9"/>
  <c r="D103" i="9"/>
  <c r="D97" i="9"/>
  <c r="D102" i="9"/>
  <c r="D96" i="9"/>
  <c r="D101" i="9"/>
  <c r="D95" i="9"/>
  <c r="D86" i="9"/>
  <c r="D85" i="9"/>
  <c r="D94" i="9"/>
  <c r="D84" i="9"/>
  <c r="D83" i="9"/>
  <c r="D82" i="9"/>
  <c r="D81" i="9"/>
  <c r="D66" i="9"/>
  <c r="D75" i="9"/>
  <c r="D80" i="9"/>
  <c r="D79" i="9"/>
  <c r="D78" i="9"/>
  <c r="D77" i="9"/>
  <c r="D76" i="9"/>
  <c r="D74" i="9"/>
  <c r="D73" i="9"/>
  <c r="D72" i="9"/>
  <c r="D71" i="9"/>
  <c r="D70" i="9"/>
  <c r="D69" i="9"/>
  <c r="D68" i="9"/>
  <c r="D67" i="9"/>
  <c r="D65" i="9"/>
  <c r="D64" i="9"/>
  <c r="D63" i="9"/>
  <c r="D62" i="9"/>
  <c r="D61" i="9"/>
  <c r="D60" i="9"/>
  <c r="D59" i="9"/>
  <c r="D53" i="9"/>
  <c r="D52" i="9"/>
  <c r="D58" i="9"/>
  <c r="D51" i="9"/>
  <c r="D57" i="9"/>
  <c r="D50" i="9"/>
  <c r="D56" i="9"/>
  <c r="D49" i="9"/>
  <c r="D55" i="9"/>
  <c r="D48" i="9"/>
  <c r="D54" i="9"/>
  <c r="D47" i="9"/>
  <c r="D46" i="9"/>
  <c r="D45" i="9"/>
  <c r="D44" i="9"/>
  <c r="D43" i="9"/>
  <c r="D42" i="9"/>
  <c r="D41" i="9"/>
  <c r="D40" i="9"/>
  <c r="D39" i="9"/>
  <c r="D38" i="9"/>
  <c r="D37" i="9"/>
  <c r="D36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8" i="9"/>
  <c r="D19" i="9"/>
  <c r="D17" i="9"/>
  <c r="D16" i="9"/>
  <c r="D15" i="9"/>
  <c r="D14" i="9"/>
  <c r="D13" i="9"/>
  <c r="D12" i="9"/>
  <c r="D11" i="9"/>
  <c r="D10" i="9"/>
  <c r="D9" i="9"/>
  <c r="AD682" i="9" l="1"/>
  <c r="J676" i="9"/>
  <c r="C676" i="9"/>
  <c r="AD681" i="9"/>
  <c r="C652" i="9"/>
  <c r="AD680" i="9"/>
  <c r="C642" i="9"/>
  <c r="AD679" i="9"/>
  <c r="K653" i="9"/>
  <c r="C653" i="9"/>
  <c r="AD678" i="9"/>
  <c r="J646" i="9"/>
  <c r="C646" i="9"/>
  <c r="AD677" i="9"/>
  <c r="C644" i="9"/>
  <c r="AD676" i="9"/>
  <c r="C641" i="9"/>
  <c r="AD675" i="9"/>
  <c r="K639" i="9"/>
  <c r="C639" i="9"/>
  <c r="AD674" i="9"/>
  <c r="J659" i="9"/>
  <c r="C659" i="9"/>
  <c r="AD673" i="9"/>
  <c r="J658" i="9"/>
  <c r="C658" i="9"/>
  <c r="C657" i="9"/>
  <c r="K656" i="9"/>
  <c r="C656" i="9"/>
  <c r="C655" i="9"/>
  <c r="J654" i="9"/>
  <c r="C654" i="9"/>
  <c r="C647" i="9"/>
  <c r="K645" i="9"/>
  <c r="C645" i="9"/>
  <c r="C643" i="9"/>
  <c r="AD665" i="9"/>
  <c r="C640" i="9"/>
  <c r="AD664" i="9"/>
  <c r="C638" i="9"/>
  <c r="AD663" i="9"/>
  <c r="K682" i="9"/>
  <c r="C682" i="9"/>
  <c r="AD662" i="9"/>
  <c r="J679" i="9"/>
  <c r="C679" i="9"/>
  <c r="AD661" i="9"/>
  <c r="C681" i="9"/>
  <c r="AD660" i="9"/>
  <c r="C680" i="9"/>
  <c r="AD659" i="9"/>
  <c r="K678" i="9"/>
  <c r="C678" i="9"/>
  <c r="AD658" i="9"/>
  <c r="J677" i="9"/>
  <c r="C677" i="9"/>
  <c r="AD657" i="9"/>
  <c r="C651" i="9"/>
  <c r="AD656" i="9"/>
  <c r="C650" i="9"/>
  <c r="AD655" i="9"/>
  <c r="K649" i="9"/>
  <c r="C649" i="9"/>
  <c r="AD654" i="9"/>
  <c r="K648" i="9"/>
  <c r="J648" i="9"/>
  <c r="C648" i="9"/>
  <c r="AD653" i="9"/>
  <c r="K675" i="9"/>
  <c r="J675" i="9"/>
  <c r="C675" i="9"/>
  <c r="AD652" i="9"/>
  <c r="C674" i="9"/>
  <c r="AD651" i="9"/>
  <c r="K673" i="9"/>
  <c r="C673" i="9"/>
  <c r="AD650" i="9"/>
  <c r="K672" i="9"/>
  <c r="J672" i="9"/>
  <c r="C672" i="9"/>
  <c r="AD649" i="9"/>
  <c r="K669" i="9"/>
  <c r="J669" i="9"/>
  <c r="C669" i="9"/>
  <c r="AD648" i="9"/>
  <c r="C667" i="9"/>
  <c r="AD647" i="9"/>
  <c r="K671" i="9"/>
  <c r="C671" i="9"/>
  <c r="AD646" i="9"/>
  <c r="C670" i="9"/>
  <c r="AD645" i="9"/>
  <c r="J668" i="9"/>
  <c r="K668" i="9"/>
  <c r="C668" i="9"/>
  <c r="AD644" i="9"/>
  <c r="C666" i="9"/>
  <c r="AD643" i="9"/>
  <c r="K665" i="9"/>
  <c r="C665" i="9"/>
  <c r="AD642" i="9"/>
  <c r="C664" i="9"/>
  <c r="AD641" i="9"/>
  <c r="C663" i="9"/>
  <c r="AD640" i="9"/>
  <c r="C662" i="9"/>
  <c r="AD639" i="9"/>
  <c r="K661" i="9"/>
  <c r="C661" i="9"/>
  <c r="AD638" i="9"/>
  <c r="J660" i="9"/>
  <c r="C660" i="9"/>
  <c r="AD637" i="9"/>
  <c r="C626" i="9"/>
  <c r="AD636" i="9"/>
  <c r="C625" i="9"/>
  <c r="AD635" i="9"/>
  <c r="K604" i="9"/>
  <c r="C604" i="9"/>
  <c r="AD634" i="9"/>
  <c r="J624" i="9"/>
  <c r="C624" i="9"/>
  <c r="AD633" i="9"/>
  <c r="K623" i="9"/>
  <c r="C623" i="9"/>
  <c r="AD632" i="9"/>
  <c r="C622" i="9"/>
  <c r="AD631" i="9"/>
  <c r="K621" i="9"/>
  <c r="C621" i="9"/>
  <c r="AD630" i="9"/>
  <c r="J587" i="9"/>
  <c r="C587" i="9"/>
  <c r="AD629" i="9"/>
  <c r="J620" i="9"/>
  <c r="C620" i="9"/>
  <c r="AD628" i="9"/>
  <c r="C603" i="9"/>
  <c r="AD627" i="9"/>
  <c r="K619" i="9"/>
  <c r="C619" i="9"/>
  <c r="AD626" i="9"/>
  <c r="C618" i="9"/>
  <c r="AD625" i="9"/>
  <c r="C602" i="9"/>
  <c r="AD624" i="9"/>
  <c r="C617" i="9"/>
  <c r="AD623" i="9"/>
  <c r="K35" i="9"/>
  <c r="C35" i="9"/>
  <c r="AD622" i="9"/>
  <c r="K575" i="9"/>
  <c r="J575" i="9"/>
  <c r="C575" i="9"/>
  <c r="AD621" i="9"/>
  <c r="J573" i="9"/>
  <c r="K573" i="9"/>
  <c r="C573" i="9"/>
  <c r="AD620" i="9"/>
  <c r="C572" i="9"/>
  <c r="AD619" i="9"/>
  <c r="K574" i="9"/>
  <c r="C574" i="9"/>
  <c r="AD618" i="9"/>
  <c r="C571" i="9"/>
  <c r="AD617" i="9"/>
  <c r="C570" i="9"/>
  <c r="AD616" i="9"/>
  <c r="C569" i="9"/>
  <c r="AD615" i="9"/>
  <c r="K568" i="9"/>
  <c r="C568" i="9"/>
  <c r="AD614" i="9"/>
  <c r="J567" i="9"/>
  <c r="C567" i="9"/>
  <c r="AD613" i="9"/>
  <c r="K565" i="9"/>
  <c r="C565" i="9"/>
  <c r="AD612" i="9"/>
  <c r="C566" i="9"/>
  <c r="AD611" i="9"/>
  <c r="K564" i="9"/>
  <c r="C564" i="9"/>
  <c r="AD610" i="9"/>
  <c r="J563" i="9"/>
  <c r="C563" i="9"/>
  <c r="AD609" i="9"/>
  <c r="J561" i="9"/>
  <c r="C561" i="9"/>
  <c r="AD608" i="9"/>
  <c r="C560" i="9"/>
  <c r="AD607" i="9"/>
  <c r="K559" i="9"/>
  <c r="C559" i="9"/>
  <c r="AD606" i="9"/>
  <c r="C558" i="9"/>
  <c r="AD605" i="9"/>
  <c r="C562" i="9"/>
  <c r="AD604" i="9"/>
  <c r="C557" i="9"/>
  <c r="AD603" i="9"/>
  <c r="K556" i="9"/>
  <c r="C556" i="9"/>
  <c r="AD602" i="9"/>
  <c r="J555" i="9"/>
  <c r="K555" i="9"/>
  <c r="C555" i="9"/>
  <c r="AD601" i="9"/>
  <c r="J554" i="9"/>
  <c r="K554" i="9"/>
  <c r="C554" i="9"/>
  <c r="AD600" i="9"/>
  <c r="K553" i="9"/>
  <c r="C553" i="9"/>
  <c r="AD599" i="9"/>
  <c r="C552" i="9"/>
  <c r="AD598" i="9"/>
  <c r="C551" i="9"/>
  <c r="AD597" i="9"/>
  <c r="K550" i="9"/>
  <c r="C550" i="9"/>
  <c r="AD596" i="9"/>
  <c r="C549" i="9"/>
  <c r="AD595" i="9"/>
  <c r="K548" i="9"/>
  <c r="J548" i="9"/>
  <c r="C548" i="9"/>
  <c r="AD594" i="9"/>
  <c r="K547" i="9"/>
  <c r="J547" i="9"/>
  <c r="C547" i="9"/>
  <c r="AD593" i="9"/>
  <c r="C546" i="9"/>
  <c r="AD592" i="9"/>
  <c r="C545" i="9"/>
  <c r="AD591" i="9"/>
  <c r="C544" i="9"/>
  <c r="AD590" i="9"/>
  <c r="C543" i="9"/>
  <c r="AD589" i="9"/>
  <c r="C542" i="9"/>
  <c r="AD588" i="9"/>
  <c r="C541" i="9"/>
  <c r="AD587" i="9"/>
  <c r="K540" i="9"/>
  <c r="C540" i="9"/>
  <c r="AD586" i="9"/>
  <c r="J539" i="9"/>
  <c r="C539" i="9"/>
  <c r="AD585" i="9"/>
  <c r="K538" i="9"/>
  <c r="C538" i="9"/>
  <c r="AD584" i="9"/>
  <c r="C537" i="9"/>
  <c r="AD583" i="9"/>
  <c r="K536" i="9"/>
  <c r="J536" i="9"/>
  <c r="C536" i="9"/>
  <c r="AD582" i="9"/>
  <c r="K535" i="9"/>
  <c r="J535" i="9"/>
  <c r="C535" i="9"/>
  <c r="AD581" i="9"/>
  <c r="J534" i="9"/>
  <c r="K534" i="9"/>
  <c r="C534" i="9"/>
  <c r="AD580" i="9"/>
  <c r="C533" i="9"/>
  <c r="AD579" i="9"/>
  <c r="K532" i="9"/>
  <c r="J532" i="9"/>
  <c r="C532" i="9"/>
  <c r="AD578" i="9"/>
  <c r="C531" i="9"/>
  <c r="AD577" i="9"/>
  <c r="J530" i="9"/>
  <c r="K530" i="9"/>
  <c r="C530" i="9"/>
  <c r="AD576" i="9"/>
  <c r="C529" i="9"/>
  <c r="AD575" i="9"/>
  <c r="C507" i="9"/>
  <c r="AD574" i="9"/>
  <c r="C506" i="9"/>
  <c r="AD573" i="9"/>
  <c r="K528" i="9"/>
  <c r="C528" i="9"/>
  <c r="AD572" i="9"/>
  <c r="C527" i="9"/>
  <c r="AD571" i="9"/>
  <c r="K526" i="9"/>
  <c r="J526" i="9"/>
  <c r="C526" i="9"/>
  <c r="AD570" i="9"/>
  <c r="K525" i="9"/>
  <c r="J525" i="9"/>
  <c r="C525" i="9"/>
  <c r="AD569" i="9"/>
  <c r="K524" i="9"/>
  <c r="C524" i="9"/>
  <c r="AD568" i="9"/>
  <c r="C523" i="9"/>
  <c r="AD567" i="9"/>
  <c r="K522" i="9"/>
  <c r="J522" i="9"/>
  <c r="C522" i="9"/>
  <c r="AD566" i="9"/>
  <c r="C521" i="9"/>
  <c r="AD565" i="9"/>
  <c r="C520" i="9"/>
  <c r="AD564" i="9"/>
  <c r="C519" i="9"/>
  <c r="AD563" i="9"/>
  <c r="C518" i="9"/>
  <c r="AD562" i="9"/>
  <c r="K517" i="9"/>
  <c r="C517" i="9"/>
  <c r="AD561" i="9"/>
  <c r="K512" i="9"/>
  <c r="C512" i="9"/>
  <c r="AD560" i="9"/>
  <c r="C511" i="9"/>
  <c r="AD559" i="9"/>
  <c r="J510" i="9"/>
  <c r="C510" i="9"/>
  <c r="AD558" i="9"/>
  <c r="K516" i="9"/>
  <c r="J516" i="9"/>
  <c r="C516" i="9"/>
  <c r="AD557" i="9"/>
  <c r="C509" i="9"/>
  <c r="C508" i="9"/>
  <c r="AD555" i="9"/>
  <c r="C515" i="9"/>
  <c r="AD554" i="9"/>
  <c r="J514" i="9"/>
  <c r="K514" i="9"/>
  <c r="C514" i="9"/>
  <c r="AD553" i="9"/>
  <c r="J513" i="9"/>
  <c r="K513" i="9"/>
  <c r="C513" i="9"/>
  <c r="C505" i="9"/>
  <c r="AD551" i="9"/>
  <c r="K504" i="9"/>
  <c r="C504" i="9"/>
  <c r="AD550" i="9"/>
  <c r="C503" i="9"/>
  <c r="AD549" i="9"/>
  <c r="C502" i="9"/>
  <c r="C501" i="9"/>
  <c r="C500" i="9"/>
  <c r="K499" i="9"/>
  <c r="C499" i="9"/>
  <c r="K498" i="9"/>
  <c r="C498" i="9"/>
  <c r="C497" i="9"/>
  <c r="AD543" i="9"/>
  <c r="J496" i="9"/>
  <c r="C496" i="9"/>
  <c r="AD542" i="9"/>
  <c r="C495" i="9"/>
  <c r="AD541" i="9"/>
  <c r="C494" i="9"/>
  <c r="AD540" i="9"/>
  <c r="C493" i="9"/>
  <c r="AD539" i="9"/>
  <c r="K492" i="9"/>
  <c r="J492" i="9"/>
  <c r="C492" i="9"/>
  <c r="AD538" i="9"/>
  <c r="K491" i="9"/>
  <c r="J491" i="9"/>
  <c r="C491" i="9"/>
  <c r="AD537" i="9"/>
  <c r="K490" i="9"/>
  <c r="C490" i="9"/>
  <c r="AD536" i="9"/>
  <c r="J489" i="9"/>
  <c r="C489" i="9"/>
  <c r="AD535" i="9"/>
  <c r="C488" i="9"/>
  <c r="AD534" i="9"/>
  <c r="J487" i="9"/>
  <c r="K487" i="9"/>
  <c r="C487" i="9"/>
  <c r="AD533" i="9"/>
  <c r="J486" i="9"/>
  <c r="K486" i="9"/>
  <c r="C486" i="9"/>
  <c r="AD532" i="9"/>
  <c r="K485" i="9"/>
  <c r="J485" i="9"/>
  <c r="C485" i="9"/>
  <c r="AD531" i="9"/>
  <c r="K484" i="9"/>
  <c r="J484" i="9"/>
  <c r="C484" i="9"/>
  <c r="AD530" i="9"/>
  <c r="K459" i="9"/>
  <c r="C459" i="9"/>
  <c r="AD529" i="9"/>
  <c r="C474" i="9"/>
  <c r="AD528" i="9"/>
  <c r="J469" i="9"/>
  <c r="K469" i="9"/>
  <c r="C469" i="9"/>
  <c r="AD527" i="9"/>
  <c r="C464" i="9"/>
  <c r="C473" i="9"/>
  <c r="AD525" i="9"/>
  <c r="C468" i="9"/>
  <c r="AD524" i="9"/>
  <c r="C463" i="9"/>
  <c r="AD523" i="9"/>
  <c r="J472" i="9"/>
  <c r="K472" i="9"/>
  <c r="C472" i="9"/>
  <c r="AD522" i="9"/>
  <c r="J467" i="9"/>
  <c r="K467" i="9"/>
  <c r="C467" i="9"/>
  <c r="AD521" i="9"/>
  <c r="C462" i="9"/>
  <c r="K471" i="9"/>
  <c r="C471" i="9"/>
  <c r="J466" i="9"/>
  <c r="C466" i="9"/>
  <c r="K461" i="9"/>
  <c r="C461" i="9"/>
  <c r="AD517" i="9"/>
  <c r="C470" i="9"/>
  <c r="AD516" i="9"/>
  <c r="J465" i="9"/>
  <c r="C465" i="9"/>
  <c r="AD515" i="9"/>
  <c r="C460" i="9"/>
  <c r="AD514" i="9"/>
  <c r="C458" i="9"/>
  <c r="AD513" i="9"/>
  <c r="C483" i="9"/>
  <c r="K479" i="9"/>
  <c r="C479" i="9"/>
  <c r="AD511" i="9"/>
  <c r="C482" i="9"/>
  <c r="AD510" i="9"/>
  <c r="C478" i="9"/>
  <c r="AD509" i="9"/>
  <c r="C481" i="9"/>
  <c r="AD508" i="9"/>
  <c r="C477" i="9"/>
  <c r="K476" i="9"/>
  <c r="C476" i="9"/>
  <c r="AD506" i="9"/>
  <c r="K480" i="9"/>
  <c r="C480" i="9"/>
  <c r="AD505" i="9"/>
  <c r="C475" i="9"/>
  <c r="AD504" i="9"/>
  <c r="J457" i="9"/>
  <c r="K457" i="9"/>
  <c r="C457" i="9"/>
  <c r="AD503" i="9"/>
  <c r="K456" i="9"/>
  <c r="J456" i="9"/>
  <c r="C456" i="9"/>
  <c r="AD502" i="9"/>
  <c r="K455" i="9"/>
  <c r="C455" i="9"/>
  <c r="AD501" i="9"/>
  <c r="C454" i="9"/>
  <c r="C453" i="9"/>
  <c r="AD499" i="9"/>
  <c r="K452" i="9"/>
  <c r="C452" i="9"/>
  <c r="AD498" i="9"/>
  <c r="K451" i="9"/>
  <c r="C451" i="9"/>
  <c r="AD497" i="9"/>
  <c r="C450" i="9"/>
  <c r="AD496" i="9"/>
  <c r="C449" i="9"/>
  <c r="AD495" i="9"/>
  <c r="C448" i="9"/>
  <c r="AD494" i="9"/>
  <c r="C447" i="9"/>
  <c r="AD493" i="9"/>
  <c r="C446" i="9"/>
  <c r="AD492" i="9"/>
  <c r="C445" i="9"/>
  <c r="AD491" i="9"/>
  <c r="C444" i="9"/>
  <c r="AD490" i="9"/>
  <c r="C443" i="9"/>
  <c r="AD489" i="9"/>
  <c r="C442" i="9"/>
  <c r="AD488" i="9"/>
  <c r="K441" i="9"/>
  <c r="C441" i="9"/>
  <c r="AD487" i="9"/>
  <c r="J440" i="9"/>
  <c r="C440" i="9"/>
  <c r="AD486" i="9"/>
  <c r="K439" i="9"/>
  <c r="C439" i="9"/>
  <c r="AD485" i="9"/>
  <c r="C438" i="9"/>
  <c r="J437" i="9"/>
  <c r="C437" i="9"/>
  <c r="AD483" i="9"/>
  <c r="K436" i="9"/>
  <c r="J436" i="9"/>
  <c r="C436" i="9"/>
  <c r="AD482" i="9"/>
  <c r="J435" i="9"/>
  <c r="K435" i="9"/>
  <c r="C435" i="9"/>
  <c r="AD481" i="9"/>
  <c r="C434" i="9"/>
  <c r="AD480" i="9"/>
  <c r="K433" i="9"/>
  <c r="C433" i="9"/>
  <c r="AD479" i="9"/>
  <c r="C432" i="9"/>
  <c r="AD478" i="9"/>
  <c r="C431" i="9"/>
  <c r="AD477" i="9"/>
  <c r="C425" i="9"/>
  <c r="AD476" i="9"/>
  <c r="C422" i="9"/>
  <c r="AD475" i="9"/>
  <c r="K421" i="9"/>
  <c r="C421" i="9"/>
  <c r="AD474" i="9"/>
  <c r="K420" i="9"/>
  <c r="C420" i="9"/>
  <c r="AD473" i="9"/>
  <c r="C419" i="9"/>
  <c r="AD472" i="9"/>
  <c r="C418" i="9"/>
  <c r="AD471" i="9"/>
  <c r="C417" i="9"/>
  <c r="AD470" i="9"/>
  <c r="K416" i="9"/>
  <c r="C416" i="9"/>
  <c r="AD469" i="9"/>
  <c r="C415" i="9"/>
  <c r="AD468" i="9"/>
  <c r="K414" i="9"/>
  <c r="J414" i="9"/>
  <c r="C414" i="9"/>
  <c r="AD467" i="9"/>
  <c r="K413" i="9"/>
  <c r="J413" i="9"/>
  <c r="C413" i="9"/>
  <c r="AD466" i="9"/>
  <c r="K412" i="9"/>
  <c r="C412" i="9"/>
  <c r="AD465" i="9"/>
  <c r="C411" i="9"/>
  <c r="AD464" i="9"/>
  <c r="J410" i="9"/>
  <c r="K410" i="9"/>
  <c r="C410" i="9"/>
  <c r="AD463" i="9"/>
  <c r="C409" i="9"/>
  <c r="AD462" i="9"/>
  <c r="C408" i="9"/>
  <c r="AD461" i="9"/>
  <c r="C407" i="9"/>
  <c r="AD460" i="9"/>
  <c r="C406" i="9"/>
  <c r="J405" i="9"/>
  <c r="K405" i="9"/>
  <c r="C405" i="9"/>
  <c r="J404" i="9"/>
  <c r="K404" i="9"/>
  <c r="C404" i="9"/>
  <c r="AD457" i="9"/>
  <c r="C398" i="9"/>
  <c r="AD456" i="9"/>
  <c r="K403" i="9"/>
  <c r="C403" i="9"/>
  <c r="J397" i="9"/>
  <c r="C397" i="9"/>
  <c r="K396" i="9"/>
  <c r="C396" i="9"/>
  <c r="AD453" i="9"/>
  <c r="C395" i="9"/>
  <c r="AD452" i="9"/>
  <c r="J402" i="9"/>
  <c r="C402" i="9"/>
  <c r="AD451" i="9"/>
  <c r="C394" i="9"/>
  <c r="AD450" i="9"/>
  <c r="C393" i="9"/>
  <c r="AD449" i="9"/>
  <c r="C392" i="9"/>
  <c r="AD448" i="9"/>
  <c r="K401" i="9"/>
  <c r="C401" i="9"/>
  <c r="AD447" i="9"/>
  <c r="C391" i="9"/>
  <c r="AD446" i="9"/>
  <c r="C390" i="9"/>
  <c r="AD445" i="9"/>
  <c r="C389" i="9"/>
  <c r="AD444" i="9"/>
  <c r="C400" i="9"/>
  <c r="AD443" i="9"/>
  <c r="K388" i="9"/>
  <c r="C388" i="9"/>
  <c r="AD442" i="9"/>
  <c r="K387" i="9"/>
  <c r="C387" i="9"/>
  <c r="C386" i="9"/>
  <c r="J399" i="9"/>
  <c r="K399" i="9"/>
  <c r="C399" i="9"/>
  <c r="K385" i="9"/>
  <c r="J385" i="9"/>
  <c r="C385" i="9"/>
  <c r="AD438" i="9"/>
  <c r="K384" i="9"/>
  <c r="C384" i="9"/>
  <c r="AD437" i="9"/>
  <c r="C383" i="9"/>
  <c r="AD436" i="9"/>
  <c r="C382" i="9"/>
  <c r="AD435" i="9"/>
  <c r="J374" i="9"/>
  <c r="K374" i="9"/>
  <c r="C374" i="9"/>
  <c r="AD434" i="9"/>
  <c r="J373" i="9"/>
  <c r="K373" i="9"/>
  <c r="C373" i="9"/>
  <c r="AD433" i="9"/>
  <c r="C381" i="9"/>
  <c r="AD432" i="9"/>
  <c r="C380" i="9"/>
  <c r="AD431" i="9"/>
  <c r="C379" i="9"/>
  <c r="AD430" i="9"/>
  <c r="C378" i="9"/>
  <c r="AD429" i="9"/>
  <c r="C377" i="9"/>
  <c r="AD428" i="9"/>
  <c r="C376" i="9"/>
  <c r="AD427" i="9"/>
  <c r="C375" i="9"/>
  <c r="AD426" i="9"/>
  <c r="C372" i="9"/>
  <c r="AD425" i="9"/>
  <c r="C371" i="9"/>
  <c r="AD424" i="9"/>
  <c r="K370" i="9"/>
  <c r="C370" i="9"/>
  <c r="AD423" i="9"/>
  <c r="J369" i="9"/>
  <c r="C369" i="9"/>
  <c r="K368" i="9"/>
  <c r="C368" i="9"/>
  <c r="C367" i="9"/>
  <c r="AD420" i="9"/>
  <c r="J366" i="9"/>
  <c r="C366" i="9"/>
  <c r="AD419" i="9"/>
  <c r="K365" i="9"/>
  <c r="J365" i="9"/>
  <c r="C365" i="9"/>
  <c r="AD418" i="9"/>
  <c r="J364" i="9"/>
  <c r="K364" i="9"/>
  <c r="C364" i="9"/>
  <c r="AD417" i="9"/>
  <c r="C430" i="9"/>
  <c r="AD416" i="9"/>
  <c r="K363" i="9"/>
  <c r="C363" i="9"/>
  <c r="AD415" i="9"/>
  <c r="C362" i="9"/>
  <c r="AD414" i="9"/>
  <c r="C361" i="9"/>
  <c r="C360" i="9"/>
  <c r="C359" i="9"/>
  <c r="K358" i="9"/>
  <c r="C358" i="9"/>
  <c r="K357" i="9"/>
  <c r="C357" i="9"/>
  <c r="C356" i="9"/>
  <c r="AD408" i="9"/>
  <c r="C355" i="9"/>
  <c r="AD407" i="9"/>
  <c r="J354" i="9"/>
  <c r="K354" i="9"/>
  <c r="C354" i="9"/>
  <c r="K353" i="9"/>
  <c r="C353" i="9"/>
  <c r="AD405" i="9"/>
  <c r="C352" i="9"/>
  <c r="AD404" i="9"/>
  <c r="C351" i="9"/>
  <c r="AD403" i="9"/>
  <c r="K350" i="9"/>
  <c r="C350" i="9"/>
  <c r="AD402" i="9"/>
  <c r="K349" i="9"/>
  <c r="C349" i="9"/>
  <c r="AD401" i="9"/>
  <c r="C348" i="9"/>
  <c r="AD400" i="9"/>
  <c r="J347" i="9"/>
  <c r="K347" i="9"/>
  <c r="C347" i="9"/>
  <c r="AD399" i="9"/>
  <c r="K346" i="9"/>
  <c r="J346" i="9"/>
  <c r="C346" i="9"/>
  <c r="AD398" i="9"/>
  <c r="K345" i="9"/>
  <c r="C345" i="9"/>
  <c r="AD397" i="9"/>
  <c r="C343" i="9"/>
  <c r="AD396" i="9"/>
  <c r="K327" i="9"/>
  <c r="J327" i="9"/>
  <c r="C327" i="9"/>
  <c r="AD395" i="9"/>
  <c r="C332" i="9"/>
  <c r="AD394" i="9"/>
  <c r="K326" i="9"/>
  <c r="C326" i="9"/>
  <c r="AD393" i="9"/>
  <c r="C325" i="9"/>
  <c r="AD392" i="9"/>
  <c r="K324" i="9"/>
  <c r="C324" i="9"/>
  <c r="AD391" i="9"/>
  <c r="C323" i="9"/>
  <c r="AE435" i="9" l="1"/>
  <c r="AF435" i="9" s="1"/>
  <c r="AE534" i="9"/>
  <c r="AF534" i="9" s="1"/>
  <c r="K418" i="9"/>
  <c r="J418" i="9"/>
  <c r="K444" i="9"/>
  <c r="J444" i="9"/>
  <c r="K460" i="9"/>
  <c r="J460" i="9"/>
  <c r="K495" i="9"/>
  <c r="J495" i="9"/>
  <c r="J358" i="9"/>
  <c r="J363" i="9"/>
  <c r="K366" i="9"/>
  <c r="K380" i="9"/>
  <c r="J380" i="9"/>
  <c r="J417" i="9"/>
  <c r="K417" i="9"/>
  <c r="K443" i="9"/>
  <c r="J443" i="9"/>
  <c r="J453" i="9"/>
  <c r="K453" i="9"/>
  <c r="K458" i="9"/>
  <c r="J458" i="9"/>
  <c r="K466" i="9"/>
  <c r="J471" i="9"/>
  <c r="J499" i="9"/>
  <c r="J504" i="9"/>
  <c r="K507" i="9"/>
  <c r="J507" i="9"/>
  <c r="K543" i="9"/>
  <c r="J543" i="9"/>
  <c r="K602" i="9"/>
  <c r="J602" i="9"/>
  <c r="J664" i="9"/>
  <c r="K664" i="9"/>
  <c r="K375" i="9"/>
  <c r="J375" i="9"/>
  <c r="K394" i="9"/>
  <c r="J394" i="9"/>
  <c r="J451" i="9"/>
  <c r="J452" i="9"/>
  <c r="K510" i="9"/>
  <c r="J506" i="9"/>
  <c r="K506" i="9"/>
  <c r="K542" i="9"/>
  <c r="J542" i="9"/>
  <c r="J562" i="9"/>
  <c r="K562" i="9"/>
  <c r="J571" i="9"/>
  <c r="K571" i="9"/>
  <c r="J623" i="9"/>
  <c r="J324" i="9"/>
  <c r="K372" i="9"/>
  <c r="J372" i="9"/>
  <c r="J382" i="9"/>
  <c r="K382" i="9"/>
  <c r="K393" i="9"/>
  <c r="J393" i="9"/>
  <c r="K397" i="9"/>
  <c r="J403" i="9"/>
  <c r="AE456" i="9" s="1"/>
  <c r="AF456" i="9" s="1"/>
  <c r="J420" i="9"/>
  <c r="J421" i="9"/>
  <c r="J433" i="9"/>
  <c r="K437" i="9"/>
  <c r="K449" i="9"/>
  <c r="J449" i="9"/>
  <c r="J515" i="9"/>
  <c r="K515" i="9"/>
  <c r="J551" i="9"/>
  <c r="K551" i="9"/>
  <c r="J565" i="9"/>
  <c r="K651" i="9"/>
  <c r="J651" i="9"/>
  <c r="K640" i="9"/>
  <c r="J640" i="9"/>
  <c r="K644" i="9"/>
  <c r="J644" i="9"/>
  <c r="K654" i="9"/>
  <c r="K676" i="9"/>
  <c r="J345" i="9"/>
  <c r="J349" i="9"/>
  <c r="J350" i="9"/>
  <c r="K369" i="9"/>
  <c r="J370" i="9"/>
  <c r="J387" i="9"/>
  <c r="J388" i="9"/>
  <c r="J401" i="9"/>
  <c r="K402" i="9"/>
  <c r="J412" i="9"/>
  <c r="K440" i="9"/>
  <c r="AE487" i="9" s="1"/>
  <c r="AF487" i="9" s="1"/>
  <c r="J441" i="9"/>
  <c r="J480" i="9"/>
  <c r="J476" i="9"/>
  <c r="J479" i="9"/>
  <c r="K465" i="9"/>
  <c r="AE516" i="9" s="1"/>
  <c r="AF516" i="9" s="1"/>
  <c r="J459" i="9"/>
  <c r="AE530" i="9" s="1"/>
  <c r="AF530" i="9" s="1"/>
  <c r="K489" i="9"/>
  <c r="AE536" i="9" s="1"/>
  <c r="AF536" i="9" s="1"/>
  <c r="J490" i="9"/>
  <c r="K496" i="9"/>
  <c r="J517" i="9"/>
  <c r="J524" i="9"/>
  <c r="K539" i="9"/>
  <c r="AE539" i="9" s="1"/>
  <c r="AF539" i="9" s="1"/>
  <c r="J540" i="9"/>
  <c r="K561" i="9"/>
  <c r="K563" i="9"/>
  <c r="K620" i="9"/>
  <c r="K587" i="9"/>
  <c r="K679" i="9"/>
  <c r="K658" i="9"/>
  <c r="K659" i="9"/>
  <c r="AE399" i="9"/>
  <c r="AF399" i="9" s="1"/>
  <c r="AE467" i="9"/>
  <c r="AF467" i="9" s="1"/>
  <c r="K323" i="9"/>
  <c r="J323" i="9"/>
  <c r="K362" i="9"/>
  <c r="J362" i="9"/>
  <c r="K408" i="9"/>
  <c r="J408" i="9"/>
  <c r="J618" i="9"/>
  <c r="K618" i="9"/>
  <c r="K361" i="9"/>
  <c r="J361" i="9"/>
  <c r="K379" i="9"/>
  <c r="J379" i="9"/>
  <c r="K400" i="9"/>
  <c r="J400" i="9"/>
  <c r="K431" i="9"/>
  <c r="J431" i="9"/>
  <c r="K477" i="9"/>
  <c r="J477" i="9"/>
  <c r="K502" i="9"/>
  <c r="J502" i="9"/>
  <c r="K570" i="9"/>
  <c r="J570" i="9"/>
  <c r="K626" i="9"/>
  <c r="J626" i="9"/>
  <c r="J655" i="9"/>
  <c r="K655" i="9"/>
  <c r="K332" i="9"/>
  <c r="J332" i="9"/>
  <c r="K355" i="9"/>
  <c r="J355" i="9"/>
  <c r="K378" i="9"/>
  <c r="J378" i="9"/>
  <c r="K391" i="9"/>
  <c r="J391" i="9"/>
  <c r="K406" i="9"/>
  <c r="J406" i="9"/>
  <c r="K447" i="9"/>
  <c r="J447" i="9"/>
  <c r="K482" i="9"/>
  <c r="J482" i="9"/>
  <c r="K463" i="9"/>
  <c r="J463" i="9"/>
  <c r="K488" i="9"/>
  <c r="J488" i="9"/>
  <c r="K521" i="9"/>
  <c r="J521" i="9"/>
  <c r="K546" i="9"/>
  <c r="J546" i="9"/>
  <c r="K663" i="9"/>
  <c r="J663" i="9"/>
  <c r="K652" i="9"/>
  <c r="J652" i="9"/>
  <c r="K376" i="9"/>
  <c r="J376" i="9"/>
  <c r="K432" i="9"/>
  <c r="J432" i="9"/>
  <c r="K445" i="9"/>
  <c r="J445" i="9"/>
  <c r="K473" i="9"/>
  <c r="J473" i="9"/>
  <c r="K503" i="9"/>
  <c r="J503" i="9"/>
  <c r="K544" i="9"/>
  <c r="J544" i="9"/>
  <c r="J558" i="9"/>
  <c r="K558" i="9"/>
  <c r="J643" i="9"/>
  <c r="K643" i="9"/>
  <c r="K351" i="9"/>
  <c r="J351" i="9"/>
  <c r="K448" i="9"/>
  <c r="J448" i="9"/>
  <c r="K518" i="9"/>
  <c r="J518" i="9"/>
  <c r="K359" i="9"/>
  <c r="J359" i="9"/>
  <c r="K390" i="9"/>
  <c r="J390" i="9"/>
  <c r="K409" i="9"/>
  <c r="J409" i="9"/>
  <c r="K422" i="9"/>
  <c r="J422" i="9"/>
  <c r="K478" i="9"/>
  <c r="J478" i="9"/>
  <c r="K464" i="9"/>
  <c r="J464" i="9"/>
  <c r="K500" i="9"/>
  <c r="J500" i="9"/>
  <c r="K520" i="9"/>
  <c r="J520" i="9"/>
  <c r="K531" i="9"/>
  <c r="J531" i="9"/>
  <c r="J670" i="9"/>
  <c r="M670" i="9" s="1"/>
  <c r="K670" i="9"/>
  <c r="N670" i="9" s="1"/>
  <c r="K681" i="9"/>
  <c r="J681" i="9"/>
  <c r="J368" i="9"/>
  <c r="J384" i="9"/>
  <c r="J396" i="9"/>
  <c r="AE396" i="9" s="1"/>
  <c r="AF396" i="9" s="1"/>
  <c r="J416" i="9"/>
  <c r="AE416" i="9" s="1"/>
  <c r="AF416" i="9" s="1"/>
  <c r="J439" i="9"/>
  <c r="AE486" i="9" s="1"/>
  <c r="AF486" i="9" s="1"/>
  <c r="J455" i="9"/>
  <c r="J461" i="9"/>
  <c r="J498" i="9"/>
  <c r="J512" i="9"/>
  <c r="J528" i="9"/>
  <c r="AE573" i="9" s="1"/>
  <c r="AF573" i="9" s="1"/>
  <c r="J538" i="9"/>
  <c r="AE538" i="9" s="1"/>
  <c r="AF538" i="9" s="1"/>
  <c r="J550" i="9"/>
  <c r="J553" i="9"/>
  <c r="AE553" i="9" s="1"/>
  <c r="AF553" i="9" s="1"/>
  <c r="K567" i="9"/>
  <c r="K624" i="9"/>
  <c r="K660" i="9"/>
  <c r="K677" i="9"/>
  <c r="K646" i="9"/>
  <c r="K352" i="9"/>
  <c r="J352" i="9"/>
  <c r="K386" i="9"/>
  <c r="J386" i="9"/>
  <c r="K475" i="9"/>
  <c r="J475" i="9"/>
  <c r="J353" i="9"/>
  <c r="K356" i="9"/>
  <c r="J356" i="9"/>
  <c r="K367" i="9"/>
  <c r="J367" i="9"/>
  <c r="K383" i="9"/>
  <c r="J383" i="9"/>
  <c r="K395" i="9"/>
  <c r="J395" i="9"/>
  <c r="K415" i="9"/>
  <c r="J415" i="9"/>
  <c r="K438" i="9"/>
  <c r="J438" i="9"/>
  <c r="K454" i="9"/>
  <c r="J454" i="9"/>
  <c r="K470" i="9"/>
  <c r="J470" i="9"/>
  <c r="AE522" i="9"/>
  <c r="AF522" i="9" s="1"/>
  <c r="AE532" i="9"/>
  <c r="AF532" i="9" s="1"/>
  <c r="K494" i="9"/>
  <c r="J494" i="9"/>
  <c r="K508" i="9"/>
  <c r="J508" i="9"/>
  <c r="K371" i="9"/>
  <c r="J371" i="9"/>
  <c r="K398" i="9"/>
  <c r="J398" i="9"/>
  <c r="K419" i="9"/>
  <c r="J419" i="9"/>
  <c r="K442" i="9"/>
  <c r="J442" i="9"/>
  <c r="K462" i="9"/>
  <c r="J462" i="9"/>
  <c r="K509" i="9"/>
  <c r="J509" i="9"/>
  <c r="K519" i="9"/>
  <c r="J519" i="9"/>
  <c r="K325" i="9"/>
  <c r="J325" i="9"/>
  <c r="J326" i="9"/>
  <c r="K343" i="9"/>
  <c r="J343" i="9"/>
  <c r="J357" i="9"/>
  <c r="K360" i="9"/>
  <c r="J360" i="9"/>
  <c r="K430" i="9"/>
  <c r="J430" i="9"/>
  <c r="K381" i="9"/>
  <c r="J381" i="9"/>
  <c r="K392" i="9"/>
  <c r="J392" i="9"/>
  <c r="K411" i="9"/>
  <c r="J411" i="9"/>
  <c r="K434" i="9"/>
  <c r="J434" i="9"/>
  <c r="K450" i="9"/>
  <c r="J450" i="9"/>
  <c r="K483" i="9"/>
  <c r="J483" i="9"/>
  <c r="K474" i="9"/>
  <c r="J474" i="9"/>
  <c r="K493" i="9"/>
  <c r="J493" i="9"/>
  <c r="K533" i="9"/>
  <c r="J533" i="9"/>
  <c r="K348" i="9"/>
  <c r="J348" i="9"/>
  <c r="K377" i="9"/>
  <c r="J377" i="9"/>
  <c r="K389" i="9"/>
  <c r="J389" i="9"/>
  <c r="K407" i="9"/>
  <c r="J407" i="9"/>
  <c r="K425" i="9"/>
  <c r="J425" i="9"/>
  <c r="K446" i="9"/>
  <c r="J446" i="9"/>
  <c r="K481" i="9"/>
  <c r="J481" i="9"/>
  <c r="K468" i="9"/>
  <c r="J468" i="9"/>
  <c r="K549" i="9"/>
  <c r="J549" i="9"/>
  <c r="K572" i="9"/>
  <c r="J572" i="9"/>
  <c r="K674" i="9"/>
  <c r="J674" i="9"/>
  <c r="K497" i="9"/>
  <c r="J497" i="9"/>
  <c r="K511" i="9"/>
  <c r="J511" i="9"/>
  <c r="K529" i="9"/>
  <c r="J529" i="9"/>
  <c r="K545" i="9"/>
  <c r="J545" i="9"/>
  <c r="K501" i="9"/>
  <c r="J501" i="9"/>
  <c r="AE554" i="9"/>
  <c r="AF554" i="9" s="1"/>
  <c r="K527" i="9"/>
  <c r="J527" i="9"/>
  <c r="K541" i="9"/>
  <c r="J541" i="9"/>
  <c r="J552" i="9"/>
  <c r="K552" i="9"/>
  <c r="K557" i="9"/>
  <c r="J557" i="9"/>
  <c r="K625" i="9"/>
  <c r="J625" i="9"/>
  <c r="K647" i="9"/>
  <c r="J647" i="9"/>
  <c r="K505" i="9"/>
  <c r="J505" i="9"/>
  <c r="K523" i="9"/>
  <c r="J523" i="9"/>
  <c r="K537" i="9"/>
  <c r="J537" i="9"/>
  <c r="K560" i="9"/>
  <c r="J560" i="9"/>
  <c r="K617" i="9"/>
  <c r="J617" i="9"/>
  <c r="K662" i="9"/>
  <c r="J662" i="9"/>
  <c r="K650" i="9"/>
  <c r="J650" i="9"/>
  <c r="K657" i="9"/>
  <c r="J657" i="9"/>
  <c r="K566" i="9"/>
  <c r="J566" i="9"/>
  <c r="K603" i="9"/>
  <c r="J603" i="9"/>
  <c r="K666" i="9"/>
  <c r="J666" i="9"/>
  <c r="K680" i="9"/>
  <c r="J680" i="9"/>
  <c r="K641" i="9"/>
  <c r="J641" i="9"/>
  <c r="K569" i="9"/>
  <c r="J569" i="9"/>
  <c r="K622" i="9"/>
  <c r="J622" i="9"/>
  <c r="K667" i="9"/>
  <c r="J667" i="9"/>
  <c r="K638" i="9"/>
  <c r="J638" i="9"/>
  <c r="K642" i="9"/>
  <c r="J642" i="9"/>
  <c r="J556" i="9"/>
  <c r="J559" i="9"/>
  <c r="J564" i="9"/>
  <c r="J568" i="9"/>
  <c r="J574" i="9"/>
  <c r="J35" i="9"/>
  <c r="J619" i="9"/>
  <c r="J621" i="9"/>
  <c r="AE621" i="9" s="1"/>
  <c r="AF621" i="9" s="1"/>
  <c r="J604" i="9"/>
  <c r="J661" i="9"/>
  <c r="J665" i="9"/>
  <c r="J671" i="9"/>
  <c r="J673" i="9"/>
  <c r="J649" i="9"/>
  <c r="AE649" i="9" s="1"/>
  <c r="AF649" i="9" s="1"/>
  <c r="J678" i="9"/>
  <c r="J682" i="9"/>
  <c r="J645" i="9"/>
  <c r="AE645" i="9" s="1"/>
  <c r="AF645" i="9" s="1"/>
  <c r="J656" i="9"/>
  <c r="J639" i="9"/>
  <c r="AE675" i="9" s="1"/>
  <c r="AF675" i="9" s="1"/>
  <c r="J653" i="9"/>
  <c r="J99" i="10"/>
  <c r="H99" i="10"/>
  <c r="AE659" i="9" l="1"/>
  <c r="AF659" i="9" s="1"/>
  <c r="AE570" i="9"/>
  <c r="AF570" i="9" s="1"/>
  <c r="AE543" i="9"/>
  <c r="AF543" i="9" s="1"/>
  <c r="AE571" i="9"/>
  <c r="AF571" i="9" s="1"/>
  <c r="AE499" i="9"/>
  <c r="AF499" i="9" s="1"/>
  <c r="AE602" i="9"/>
  <c r="AF602" i="9" s="1"/>
  <c r="AE679" i="9"/>
  <c r="AF679" i="9" s="1"/>
  <c r="AE558" i="9"/>
  <c r="AF558" i="9" s="1"/>
  <c r="AE650" i="9"/>
  <c r="AF650" i="9" s="1"/>
  <c r="AE418" i="9"/>
  <c r="AF418" i="9" s="1"/>
  <c r="AE407" i="9"/>
  <c r="AF407" i="9" s="1"/>
  <c r="AE561" i="9"/>
  <c r="AF561" i="9" s="1"/>
  <c r="P670" i="9"/>
  <c r="AD670" i="9" s="1"/>
  <c r="AE670" i="9" s="1"/>
  <c r="AF670" i="9" s="1"/>
  <c r="AE651" i="9"/>
  <c r="AF651" i="9" s="1"/>
  <c r="AE466" i="9"/>
  <c r="AF466" i="9" s="1"/>
  <c r="AE419" i="9"/>
  <c r="AF419" i="9" s="1"/>
  <c r="AE654" i="9"/>
  <c r="AF654" i="9" s="1"/>
  <c r="AE643" i="9"/>
  <c r="AF643" i="9" s="1"/>
  <c r="AE663" i="9"/>
  <c r="AF663" i="9" s="1"/>
  <c r="AE533" i="9"/>
  <c r="AF533" i="9" s="1"/>
  <c r="AE528" i="9"/>
  <c r="AF528" i="9" s="1"/>
  <c r="AE531" i="9"/>
  <c r="AF531" i="9" s="1"/>
  <c r="AE464" i="9"/>
  <c r="AF464" i="9" s="1"/>
  <c r="AE474" i="9"/>
  <c r="AF474" i="9" s="1"/>
  <c r="AE658" i="9"/>
  <c r="AF658" i="9" s="1"/>
  <c r="AE452" i="9"/>
  <c r="AF452" i="9" s="1"/>
  <c r="AE403" i="9"/>
  <c r="AF403" i="9" s="1"/>
  <c r="AE603" i="9"/>
  <c r="AF603" i="9" s="1"/>
  <c r="AE480" i="9"/>
  <c r="AF480" i="9" s="1"/>
  <c r="AE551" i="9"/>
  <c r="AF551" i="9" s="1"/>
  <c r="AE468" i="9"/>
  <c r="AF468" i="9" s="1"/>
  <c r="AE483" i="9"/>
  <c r="AF483" i="9" s="1"/>
  <c r="AE622" i="9"/>
  <c r="AF622" i="9" s="1"/>
  <c r="AE587" i="9"/>
  <c r="AF587" i="9" s="1"/>
  <c r="AE442" i="9"/>
  <c r="AF442" i="9" s="1"/>
  <c r="AE503" i="9"/>
  <c r="AF503" i="9" s="1"/>
  <c r="AE400" i="9"/>
  <c r="AF400" i="9" s="1"/>
  <c r="AE523" i="9"/>
  <c r="AF523" i="9" s="1"/>
  <c r="AE434" i="9"/>
  <c r="AF434" i="9" s="1"/>
  <c r="AE562" i="9"/>
  <c r="AF562" i="9" s="1"/>
  <c r="AE482" i="9"/>
  <c r="AF482" i="9" s="1"/>
  <c r="AE673" i="9"/>
  <c r="AF673" i="9" s="1"/>
  <c r="AE488" i="9"/>
  <c r="AF488" i="9" s="1"/>
  <c r="AE682" i="9"/>
  <c r="AF682" i="9" s="1"/>
  <c r="AE647" i="9"/>
  <c r="AF647" i="9" s="1"/>
  <c r="AE623" i="9"/>
  <c r="AF623" i="9" s="1"/>
  <c r="AE638" i="9"/>
  <c r="AF638" i="9" s="1"/>
  <c r="AE470" i="9"/>
  <c r="AF470" i="9" s="1"/>
  <c r="AE662" i="9"/>
  <c r="AF662" i="9" s="1"/>
  <c r="AE475" i="9"/>
  <c r="AF475" i="9" s="1"/>
  <c r="AE619" i="9"/>
  <c r="AF619" i="9" s="1"/>
  <c r="AE653" i="9"/>
  <c r="AF653" i="9" s="1"/>
  <c r="AE569" i="9"/>
  <c r="AF569" i="9" s="1"/>
  <c r="AE504" i="9"/>
  <c r="AF504" i="9" s="1"/>
  <c r="AE420" i="9"/>
  <c r="AF420" i="9" s="1"/>
  <c r="AE438" i="9"/>
  <c r="AF438" i="9" s="1"/>
  <c r="AE567" i="9"/>
  <c r="AF567" i="9" s="1"/>
  <c r="AE559" i="9"/>
  <c r="AF559" i="9" s="1"/>
  <c r="AE394" i="9"/>
  <c r="AF394" i="9" s="1"/>
  <c r="AE448" i="9"/>
  <c r="AF448" i="9" s="1"/>
  <c r="AE402" i="9"/>
  <c r="AF402" i="9" s="1"/>
  <c r="AE639" i="9"/>
  <c r="AF639" i="9" s="1"/>
  <c r="AE655" i="9"/>
  <c r="AF655" i="9" s="1"/>
  <c r="AE678" i="9"/>
  <c r="AF678" i="9" s="1"/>
  <c r="AE502" i="9"/>
  <c r="AF502" i="9" s="1"/>
  <c r="AE674" i="9"/>
  <c r="AF674" i="9" s="1"/>
  <c r="AE537" i="9"/>
  <c r="AF537" i="9" s="1"/>
  <c r="AE506" i="9"/>
  <c r="AF506" i="9" s="1"/>
  <c r="AE443" i="9"/>
  <c r="AF443" i="9" s="1"/>
  <c r="AE398" i="9"/>
  <c r="AF398" i="9" s="1"/>
  <c r="AE392" i="9"/>
  <c r="AF392" i="9" s="1"/>
  <c r="AE498" i="9"/>
  <c r="AF498" i="9" s="1"/>
  <c r="AE471" i="9"/>
  <c r="AF471" i="9" s="1"/>
  <c r="AE496" i="9"/>
  <c r="AF496" i="9" s="1"/>
  <c r="AE625" i="9"/>
  <c r="AF625" i="9" s="1"/>
  <c r="AE450" i="9"/>
  <c r="AF450" i="9" s="1"/>
  <c r="AE642" i="9"/>
  <c r="AF642" i="9" s="1"/>
  <c r="AE514" i="9"/>
  <c r="AF514" i="9" s="1"/>
  <c r="AE490" i="9"/>
  <c r="AF490" i="9" s="1"/>
  <c r="AE432" i="9"/>
  <c r="AF432" i="9" s="1"/>
  <c r="AE542" i="9"/>
  <c r="AF542" i="9" s="1"/>
  <c r="AE491" i="9"/>
  <c r="AF491" i="9" s="1"/>
  <c r="AE575" i="9"/>
  <c r="AF575" i="9" s="1"/>
  <c r="AE408" i="9"/>
  <c r="AF408" i="9" s="1"/>
  <c r="AE665" i="9"/>
  <c r="AF665" i="9" s="1"/>
  <c r="AE640" i="9"/>
  <c r="AF640" i="9" s="1"/>
  <c r="AE618" i="9"/>
  <c r="AF618" i="9" s="1"/>
  <c r="AE535" i="9"/>
  <c r="AF535" i="9" s="1"/>
  <c r="AE436" i="9"/>
  <c r="AF436" i="9" s="1"/>
  <c r="AE515" i="9"/>
  <c r="AF515" i="9" s="1"/>
  <c r="AE472" i="9"/>
  <c r="AF472" i="9" s="1"/>
  <c r="AE391" i="9"/>
  <c r="AF391" i="9" s="1"/>
  <c r="AE555" i="9"/>
  <c r="AF555" i="9" s="1"/>
  <c r="AE565" i="9"/>
  <c r="AF565" i="9" s="1"/>
  <c r="AE527" i="9"/>
  <c r="AF527" i="9" s="1"/>
  <c r="AE476" i="9"/>
  <c r="AF476" i="9" s="1"/>
  <c r="AE446" i="9"/>
  <c r="AF446" i="9" s="1"/>
  <c r="AE563" i="9"/>
  <c r="AF563" i="9" s="1"/>
  <c r="AE404" i="9"/>
  <c r="AF404" i="9" s="1"/>
  <c r="AE550" i="9"/>
  <c r="AF550" i="9" s="1"/>
  <c r="AE492" i="9"/>
  <c r="AF492" i="9" s="1"/>
  <c r="AE447" i="9"/>
  <c r="AF447" i="9" s="1"/>
  <c r="AE508" i="9"/>
  <c r="AF508" i="9" s="1"/>
  <c r="AE626" i="9"/>
  <c r="AF626" i="9" s="1"/>
  <c r="AE677" i="9"/>
  <c r="AF677" i="9" s="1"/>
  <c r="AE657" i="9"/>
  <c r="AF657" i="9" s="1"/>
  <c r="AE574" i="9"/>
  <c r="AF574" i="9" s="1"/>
  <c r="AE451" i="9"/>
  <c r="AF451" i="9" s="1"/>
  <c r="AE481" i="9"/>
  <c r="AF481" i="9" s="1"/>
  <c r="AE661" i="9"/>
  <c r="AF661" i="9" s="1"/>
  <c r="AE641" i="9"/>
  <c r="AF641" i="9" s="1"/>
  <c r="AE511" i="9"/>
  <c r="AF511" i="9" s="1"/>
  <c r="AE444" i="9"/>
  <c r="AF444" i="9" s="1"/>
  <c r="AE414" i="9"/>
  <c r="AF414" i="9" s="1"/>
  <c r="AE462" i="9"/>
  <c r="AF462" i="9" s="1"/>
  <c r="AE477" i="9"/>
  <c r="AF477" i="9" s="1"/>
  <c r="AE397" i="9"/>
  <c r="AF397" i="9" s="1"/>
  <c r="AE393" i="9"/>
  <c r="AF393" i="9" s="1"/>
  <c r="AE417" i="9"/>
  <c r="AF417" i="9" s="1"/>
  <c r="AE566" i="9"/>
  <c r="AF566" i="9" s="1"/>
  <c r="AE524" i="9"/>
  <c r="AF524" i="9" s="1"/>
  <c r="AE494" i="9"/>
  <c r="AF494" i="9" s="1"/>
  <c r="AE395" i="9"/>
  <c r="AF395" i="9" s="1"/>
  <c r="AE617" i="9"/>
  <c r="AF617" i="9" s="1"/>
  <c r="AE431" i="9"/>
  <c r="AF431" i="9" s="1"/>
  <c r="AE415" i="9"/>
  <c r="AF415" i="9" s="1"/>
  <c r="AE646" i="9"/>
  <c r="AF646" i="9" s="1"/>
  <c r="AE648" i="9"/>
  <c r="AF648" i="9" s="1"/>
  <c r="AE644" i="9"/>
  <c r="AF644" i="9" s="1"/>
  <c r="AE656" i="9"/>
  <c r="AF656" i="9" s="1"/>
  <c r="AE568" i="9"/>
  <c r="AF568" i="9" s="1"/>
  <c r="AE604" i="9"/>
  <c r="AF604" i="9" s="1"/>
  <c r="AE572" i="9"/>
  <c r="AF572" i="9" s="1"/>
  <c r="AE560" i="9"/>
  <c r="AF560" i="9" s="1"/>
  <c r="AE652" i="9"/>
  <c r="AF652" i="9" s="1"/>
  <c r="AE493" i="9"/>
  <c r="AF493" i="9" s="1"/>
  <c r="AE401" i="9"/>
  <c r="AF401" i="9" s="1"/>
  <c r="AE529" i="9"/>
  <c r="AF529" i="9" s="1"/>
  <c r="AE465" i="9"/>
  <c r="AF465" i="9" s="1"/>
  <c r="AE557" i="9"/>
  <c r="AF557" i="9" s="1"/>
  <c r="AE489" i="9"/>
  <c r="AF489" i="9" s="1"/>
  <c r="AE457" i="9"/>
  <c r="AF457" i="9" s="1"/>
  <c r="AE510" i="9"/>
  <c r="AF510" i="9" s="1"/>
  <c r="AE463" i="9"/>
  <c r="AF463" i="9" s="1"/>
  <c r="AE495" i="9"/>
  <c r="AF495" i="9" s="1"/>
  <c r="AE479" i="9"/>
  <c r="AF479" i="9" s="1"/>
  <c r="AE681" i="9"/>
  <c r="AF681" i="9" s="1"/>
  <c r="AE460" i="9"/>
  <c r="AF460" i="9" s="1"/>
  <c r="AE430" i="9"/>
  <c r="AF430" i="9" s="1"/>
  <c r="AE549" i="9"/>
  <c r="AF549" i="9" s="1"/>
  <c r="AE478" i="9"/>
  <c r="AF478" i="9" s="1"/>
  <c r="AE664" i="9"/>
  <c r="AF664" i="9" s="1"/>
  <c r="AE660" i="9"/>
  <c r="AF660" i="9" s="1"/>
  <c r="AE509" i="9"/>
  <c r="AF509" i="9" s="1"/>
  <c r="AE445" i="9"/>
  <c r="AF445" i="9" s="1"/>
  <c r="AE513" i="9"/>
  <c r="AF513" i="9" s="1"/>
  <c r="AE449" i="9"/>
  <c r="AF449" i="9" s="1"/>
  <c r="AE505" i="9"/>
  <c r="AF505" i="9" s="1"/>
  <c r="AE405" i="9"/>
  <c r="AF405" i="9" s="1"/>
  <c r="AE680" i="9"/>
  <c r="AF680" i="9" s="1"/>
  <c r="AE676" i="9"/>
  <c r="AF676" i="9" s="1"/>
  <c r="AE624" i="9"/>
  <c r="AF624" i="9" s="1"/>
  <c r="AE620" i="9"/>
  <c r="AF620" i="9" s="1"/>
  <c r="AE525" i="9"/>
  <c r="AF525" i="9" s="1"/>
  <c r="AE461" i="9"/>
  <c r="AF461" i="9" s="1"/>
  <c r="AE540" i="9"/>
  <c r="AF540" i="9" s="1"/>
  <c r="AE497" i="9"/>
  <c r="AF497" i="9" s="1"/>
  <c r="AE433" i="9"/>
  <c r="AF433" i="9" s="1"/>
  <c r="AE564" i="9"/>
  <c r="AF564" i="9" s="1"/>
  <c r="AE521" i="9"/>
  <c r="AF521" i="9" s="1"/>
  <c r="AE473" i="9"/>
  <c r="AF473" i="9" s="1"/>
  <c r="AE425" i="9"/>
  <c r="AF425" i="9" s="1"/>
  <c r="AE541" i="9"/>
  <c r="AF541" i="9" s="1"/>
  <c r="AE517" i="9"/>
  <c r="AF517" i="9" s="1"/>
  <c r="AE501" i="9"/>
  <c r="AF501" i="9" s="1"/>
  <c r="AE485" i="9"/>
  <c r="AF485" i="9" s="1"/>
  <c r="AE469" i="9"/>
  <c r="AF469" i="9" s="1"/>
  <c r="AE453" i="9"/>
  <c r="AF453" i="9" s="1"/>
  <c r="AE437" i="9"/>
  <c r="AF437" i="9" s="1"/>
  <c r="I99" i="10"/>
  <c r="K99" i="10" s="1"/>
  <c r="I687" i="9"/>
  <c r="AB687" i="9" l="1"/>
  <c r="AA687" i="9"/>
  <c r="Z687" i="9"/>
  <c r="Y687" i="9"/>
  <c r="X687" i="9"/>
  <c r="W687" i="9"/>
  <c r="V687" i="9"/>
  <c r="U687" i="9"/>
  <c r="T687" i="9"/>
  <c r="S687" i="9"/>
  <c r="R687" i="9"/>
  <c r="Q687" i="9"/>
  <c r="F44" i="4" l="1"/>
  <c r="E82" i="4" l="1"/>
  <c r="D82" i="4"/>
  <c r="J25" i="8" l="1"/>
  <c r="H25" i="8"/>
  <c r="F25" i="8"/>
  <c r="E25" i="8"/>
  <c r="D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M30" i="7"/>
  <c r="L30" i="7"/>
  <c r="K30" i="7"/>
  <c r="J30" i="7"/>
  <c r="Y25" i="7"/>
  <c r="X25" i="7"/>
  <c r="W25" i="7"/>
  <c r="U25" i="7"/>
  <c r="T25" i="7"/>
  <c r="S25" i="7"/>
  <c r="R25" i="7"/>
  <c r="Q25" i="7"/>
  <c r="P25" i="7"/>
  <c r="O25" i="7"/>
  <c r="I25" i="7"/>
  <c r="I32" i="7" s="1"/>
  <c r="H25" i="7"/>
  <c r="H32" i="7" s="1"/>
  <c r="G25" i="7"/>
  <c r="G32" i="7" s="1"/>
  <c r="F25" i="7"/>
  <c r="F32" i="7" s="1"/>
  <c r="V24" i="7"/>
  <c r="M24" i="7"/>
  <c r="L24" i="7"/>
  <c r="K24" i="7"/>
  <c r="J24" i="7"/>
  <c r="A24" i="7"/>
  <c r="V23" i="7"/>
  <c r="M23" i="7"/>
  <c r="L23" i="7"/>
  <c r="K23" i="7"/>
  <c r="J23" i="7"/>
  <c r="A23" i="7"/>
  <c r="V22" i="7"/>
  <c r="M22" i="7"/>
  <c r="L22" i="7"/>
  <c r="K22" i="7"/>
  <c r="J22" i="7"/>
  <c r="A22" i="7"/>
  <c r="V21" i="7"/>
  <c r="M21" i="7"/>
  <c r="L21" i="7"/>
  <c r="K21" i="7"/>
  <c r="J21" i="7"/>
  <c r="A21" i="7"/>
  <c r="V20" i="7"/>
  <c r="M20" i="7"/>
  <c r="L20" i="7"/>
  <c r="K20" i="7"/>
  <c r="J20" i="7"/>
  <c r="A20" i="7"/>
  <c r="V19" i="7"/>
  <c r="M19" i="7"/>
  <c r="L19" i="7"/>
  <c r="K19" i="7"/>
  <c r="J19" i="7"/>
  <c r="A19" i="7"/>
  <c r="V18" i="7"/>
  <c r="M18" i="7"/>
  <c r="L18" i="7"/>
  <c r="K18" i="7"/>
  <c r="J18" i="7"/>
  <c r="A18" i="7"/>
  <c r="V17" i="7"/>
  <c r="M17" i="7"/>
  <c r="L17" i="7"/>
  <c r="K17" i="7"/>
  <c r="J17" i="7"/>
  <c r="A17" i="7"/>
  <c r="V16" i="7"/>
  <c r="M16" i="7"/>
  <c r="L16" i="7"/>
  <c r="K16" i="7"/>
  <c r="J16" i="7"/>
  <c r="A16" i="7"/>
  <c r="V15" i="7"/>
  <c r="M15" i="7"/>
  <c r="L15" i="7"/>
  <c r="K15" i="7"/>
  <c r="J15" i="7"/>
  <c r="A15" i="7"/>
  <c r="V14" i="7"/>
  <c r="M14" i="7"/>
  <c r="L14" i="7"/>
  <c r="K14" i="7"/>
  <c r="J14" i="7"/>
  <c r="A14" i="7"/>
  <c r="V13" i="7"/>
  <c r="M13" i="7"/>
  <c r="L13" i="7"/>
  <c r="K13" i="7"/>
  <c r="J13" i="7"/>
  <c r="A13" i="7"/>
  <c r="V12" i="7"/>
  <c r="M12" i="7"/>
  <c r="L12" i="7"/>
  <c r="K12" i="7"/>
  <c r="J12" i="7"/>
  <c r="A12" i="7"/>
  <c r="V11" i="7"/>
  <c r="M11" i="7"/>
  <c r="L11" i="7"/>
  <c r="K11" i="7"/>
  <c r="J11" i="7"/>
  <c r="A11" i="7"/>
  <c r="V10" i="7"/>
  <c r="M10" i="7"/>
  <c r="L10" i="7"/>
  <c r="K10" i="7"/>
  <c r="J10" i="7"/>
  <c r="A10" i="7"/>
  <c r="V9" i="7"/>
  <c r="M9" i="7"/>
  <c r="L9" i="7"/>
  <c r="K9" i="7"/>
  <c r="J9" i="7"/>
  <c r="A9" i="7"/>
  <c r="V8" i="7"/>
  <c r="M8" i="7"/>
  <c r="L8" i="7"/>
  <c r="K8" i="7"/>
  <c r="J8" i="7"/>
  <c r="A8" i="7"/>
  <c r="C24" i="6"/>
  <c r="A24" i="6"/>
  <c r="C23" i="6"/>
  <c r="A23" i="6"/>
  <c r="C22" i="6"/>
  <c r="A22" i="6"/>
  <c r="C21" i="6"/>
  <c r="A21" i="6"/>
  <c r="C20" i="6"/>
  <c r="A20" i="6"/>
  <c r="C19" i="6"/>
  <c r="A19" i="6"/>
  <c r="C18" i="6"/>
  <c r="A18" i="6"/>
  <c r="C17" i="6"/>
  <c r="A17" i="6"/>
  <c r="C16" i="6"/>
  <c r="A16" i="6"/>
  <c r="C15" i="6"/>
  <c r="A15" i="6"/>
  <c r="C14" i="6"/>
  <c r="A14" i="6"/>
  <c r="C13" i="6"/>
  <c r="A13" i="6"/>
  <c r="C12" i="6"/>
  <c r="A12" i="6"/>
  <c r="C11" i="6"/>
  <c r="A11" i="6"/>
  <c r="C10" i="6"/>
  <c r="A10" i="6"/>
  <c r="C9" i="6"/>
  <c r="A9" i="6"/>
  <c r="C8" i="6"/>
  <c r="A8" i="6"/>
  <c r="V25" i="5"/>
  <c r="U25" i="5"/>
  <c r="T25" i="5"/>
  <c r="S25" i="5"/>
  <c r="R25" i="5"/>
  <c r="Q25" i="5"/>
  <c r="P25" i="5"/>
  <c r="O25" i="5"/>
  <c r="N25" i="5"/>
  <c r="M25" i="5"/>
  <c r="L25" i="5"/>
  <c r="K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C93" i="4"/>
  <c r="C82" i="4"/>
  <c r="F77" i="4"/>
  <c r="F76" i="4"/>
  <c r="F75" i="4"/>
  <c r="F74" i="4"/>
  <c r="F73" i="4"/>
  <c r="F72" i="4"/>
  <c r="F65" i="4"/>
  <c r="F64" i="4"/>
  <c r="F63" i="4"/>
  <c r="F62" i="4"/>
  <c r="C53" i="4"/>
  <c r="C52" i="4"/>
  <c r="C51" i="4"/>
  <c r="F43" i="4"/>
  <c r="F42" i="4"/>
  <c r="F41" i="4"/>
  <c r="F40" i="4"/>
  <c r="F39" i="4"/>
  <c r="F38" i="4"/>
  <c r="F37" i="4"/>
  <c r="F36" i="4"/>
  <c r="J35" i="7" s="1"/>
  <c r="F35" i="4"/>
  <c r="F34" i="4"/>
  <c r="F33" i="4"/>
  <c r="W30" i="12"/>
  <c r="V30" i="12"/>
  <c r="U30" i="12"/>
  <c r="T30" i="12"/>
  <c r="S30" i="12"/>
  <c r="S32" i="12" s="1"/>
  <c r="R30" i="12"/>
  <c r="Q30" i="12"/>
  <c r="P30" i="12"/>
  <c r="O30" i="12"/>
  <c r="N30" i="12"/>
  <c r="N32" i="12" s="1"/>
  <c r="M30" i="12"/>
  <c r="M32" i="12" s="1"/>
  <c r="L30" i="12"/>
  <c r="L32" i="12" s="1"/>
  <c r="D30" i="12"/>
  <c r="D32" i="12" s="1"/>
  <c r="W27" i="12"/>
  <c r="V27" i="12"/>
  <c r="U27" i="12"/>
  <c r="T27" i="12"/>
  <c r="S27" i="12"/>
  <c r="R27" i="12"/>
  <c r="Q27" i="12"/>
  <c r="P27" i="12"/>
  <c r="O27" i="12"/>
  <c r="N27" i="12"/>
  <c r="M27" i="12"/>
  <c r="L27" i="12"/>
  <c r="D27" i="12"/>
  <c r="D29" i="12" s="1"/>
  <c r="W24" i="12"/>
  <c r="V24" i="12"/>
  <c r="U24" i="12"/>
  <c r="T24" i="12"/>
  <c r="S24" i="12"/>
  <c r="R24" i="12"/>
  <c r="Q24" i="12"/>
  <c r="P24" i="12"/>
  <c r="O24" i="12"/>
  <c r="N24" i="12"/>
  <c r="M24" i="12"/>
  <c r="L24" i="12"/>
  <c r="D24" i="12"/>
  <c r="D26" i="12" s="1"/>
  <c r="I23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D21" i="12"/>
  <c r="D23" i="12" s="1"/>
  <c r="W18" i="12"/>
  <c r="V18" i="12"/>
  <c r="U18" i="12"/>
  <c r="T18" i="12"/>
  <c r="S18" i="12"/>
  <c r="R18" i="12"/>
  <c r="Q18" i="12"/>
  <c r="P18" i="12"/>
  <c r="O18" i="12"/>
  <c r="N18" i="12"/>
  <c r="M18" i="12"/>
  <c r="L18" i="12"/>
  <c r="D18" i="12"/>
  <c r="D20" i="12" s="1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D15" i="12"/>
  <c r="D17" i="12" s="1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D12" i="12"/>
  <c r="W7" i="12"/>
  <c r="H24" i="6" s="1"/>
  <c r="V7" i="12"/>
  <c r="H23" i="6" s="1"/>
  <c r="U7" i="12"/>
  <c r="H22" i="6" s="1"/>
  <c r="T7" i="12"/>
  <c r="H21" i="6" s="1"/>
  <c r="S7" i="12"/>
  <c r="H20" i="6" s="1"/>
  <c r="R7" i="12"/>
  <c r="H19" i="6" s="1"/>
  <c r="Q7" i="12"/>
  <c r="H18" i="6" s="1"/>
  <c r="P7" i="12"/>
  <c r="H17" i="6" s="1"/>
  <c r="O7" i="12"/>
  <c r="H16" i="6" s="1"/>
  <c r="N7" i="12"/>
  <c r="H15" i="6" s="1"/>
  <c r="M7" i="12"/>
  <c r="H14" i="6" s="1"/>
  <c r="L7" i="12"/>
  <c r="H13" i="6" s="1"/>
  <c r="D7" i="12"/>
  <c r="W6" i="12"/>
  <c r="G24" i="6" s="1"/>
  <c r="V6" i="12"/>
  <c r="G23" i="6" s="1"/>
  <c r="U6" i="12"/>
  <c r="G22" i="6" s="1"/>
  <c r="T6" i="12"/>
  <c r="G21" i="6" s="1"/>
  <c r="S6" i="12"/>
  <c r="G20" i="6" s="1"/>
  <c r="R6" i="12"/>
  <c r="G19" i="6" s="1"/>
  <c r="Q6" i="12"/>
  <c r="G18" i="6" s="1"/>
  <c r="P6" i="12"/>
  <c r="G17" i="6" s="1"/>
  <c r="O6" i="12"/>
  <c r="G16" i="6" s="1"/>
  <c r="N6" i="12"/>
  <c r="G15" i="6" s="1"/>
  <c r="M6" i="12"/>
  <c r="G14" i="6" s="1"/>
  <c r="L6" i="12"/>
  <c r="G13" i="6" s="1"/>
  <c r="D6" i="12"/>
  <c r="W4" i="12"/>
  <c r="E24" i="6" s="1"/>
  <c r="V4" i="12"/>
  <c r="E23" i="6" s="1"/>
  <c r="U4" i="12"/>
  <c r="E22" i="6" s="1"/>
  <c r="T4" i="12"/>
  <c r="E21" i="6" s="1"/>
  <c r="S4" i="12"/>
  <c r="E20" i="6" s="1"/>
  <c r="R4" i="12"/>
  <c r="E19" i="6" s="1"/>
  <c r="Q4" i="12"/>
  <c r="E18" i="6" s="1"/>
  <c r="P4" i="12"/>
  <c r="E17" i="6" s="1"/>
  <c r="O4" i="12"/>
  <c r="E16" i="6" s="1"/>
  <c r="N4" i="12"/>
  <c r="E15" i="6" s="1"/>
  <c r="M4" i="12"/>
  <c r="E14" i="6" s="1"/>
  <c r="L4" i="12"/>
  <c r="E13" i="6" s="1"/>
  <c r="D4" i="12"/>
  <c r="W3" i="12"/>
  <c r="D24" i="6" s="1"/>
  <c r="V3" i="12"/>
  <c r="D23" i="6" s="1"/>
  <c r="U3" i="12"/>
  <c r="D22" i="6" s="1"/>
  <c r="T3" i="12"/>
  <c r="D21" i="6" s="1"/>
  <c r="S3" i="12"/>
  <c r="D20" i="6" s="1"/>
  <c r="R3" i="12"/>
  <c r="D19" i="6" s="1"/>
  <c r="Q3" i="12"/>
  <c r="D18" i="6" s="1"/>
  <c r="P3" i="12"/>
  <c r="D17" i="6" s="1"/>
  <c r="O3" i="12"/>
  <c r="D16" i="6" s="1"/>
  <c r="N3" i="12"/>
  <c r="D15" i="6" s="1"/>
  <c r="M3" i="12"/>
  <c r="D14" i="6" s="1"/>
  <c r="L3" i="12"/>
  <c r="D13" i="6" s="1"/>
  <c r="D3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J91" i="10"/>
  <c r="J92" i="10" s="1"/>
  <c r="I91" i="10"/>
  <c r="H91" i="10"/>
  <c r="F87" i="10"/>
  <c r="J84" i="10"/>
  <c r="I84" i="10"/>
  <c r="H84" i="10"/>
  <c r="H85" i="10" s="1"/>
  <c r="J82" i="10"/>
  <c r="J83" i="10" s="1"/>
  <c r="I82" i="10"/>
  <c r="I83" i="10" s="1"/>
  <c r="H82" i="10"/>
  <c r="H83" i="10" s="1"/>
  <c r="J80" i="10"/>
  <c r="I80" i="10"/>
  <c r="H80" i="10"/>
  <c r="H81" i="10" s="1"/>
  <c r="J78" i="10"/>
  <c r="J79" i="10" s="1"/>
  <c r="I78" i="10"/>
  <c r="I79" i="10" s="1"/>
  <c r="H78" i="10"/>
  <c r="H79" i="10" s="1"/>
  <c r="J76" i="10"/>
  <c r="I76" i="10"/>
  <c r="H76" i="10"/>
  <c r="H77" i="10" s="1"/>
  <c r="J74" i="10"/>
  <c r="J75" i="10" s="1"/>
  <c r="I74" i="10"/>
  <c r="I75" i="10" s="1"/>
  <c r="H74" i="10"/>
  <c r="F71" i="10"/>
  <c r="J68" i="10"/>
  <c r="J69" i="10" s="1"/>
  <c r="I68" i="10"/>
  <c r="I69" i="10" s="1"/>
  <c r="H68" i="10"/>
  <c r="H69" i="10" s="1"/>
  <c r="J66" i="10"/>
  <c r="I66" i="10"/>
  <c r="H66" i="10"/>
  <c r="H67" i="10" s="1"/>
  <c r="J64" i="10"/>
  <c r="J65" i="10" s="1"/>
  <c r="I64" i="10"/>
  <c r="I65" i="10" s="1"/>
  <c r="H64" i="10"/>
  <c r="H65" i="10" s="1"/>
  <c r="F58" i="10"/>
  <c r="K28" i="5" s="1"/>
  <c r="F52" i="10"/>
  <c r="J47" i="10"/>
  <c r="J48" i="10" s="1"/>
  <c r="I47" i="10"/>
  <c r="I48" i="10" s="1"/>
  <c r="H47" i="10"/>
  <c r="H48" i="10" s="1"/>
  <c r="J45" i="10"/>
  <c r="I45" i="10"/>
  <c r="H45" i="10"/>
  <c r="H46" i="10" s="1"/>
  <c r="J43" i="10"/>
  <c r="J44" i="10" s="1"/>
  <c r="I43" i="10"/>
  <c r="I44" i="10" s="1"/>
  <c r="H43" i="10"/>
  <c r="H44" i="10" s="1"/>
  <c r="J41" i="10"/>
  <c r="I41" i="10"/>
  <c r="H41" i="10"/>
  <c r="H42" i="10" s="1"/>
  <c r="J39" i="10"/>
  <c r="J40" i="10" s="1"/>
  <c r="I39" i="10"/>
  <c r="H39" i="10"/>
  <c r="H40" i="10" s="1"/>
  <c r="J37" i="10"/>
  <c r="I37" i="10"/>
  <c r="I38" i="10" s="1"/>
  <c r="H37" i="10"/>
  <c r="H38" i="10" s="1"/>
  <c r="J35" i="10"/>
  <c r="J36" i="10" s="1"/>
  <c r="I35" i="10"/>
  <c r="H35" i="10"/>
  <c r="H36" i="10" s="1"/>
  <c r="J33" i="10"/>
  <c r="I33" i="10"/>
  <c r="H33" i="10"/>
  <c r="H34" i="10" s="1"/>
  <c r="J31" i="10"/>
  <c r="J32" i="10" s="1"/>
  <c r="I31" i="10"/>
  <c r="H31" i="10"/>
  <c r="H32" i="10" s="1"/>
  <c r="J29" i="10"/>
  <c r="I29" i="10"/>
  <c r="I30" i="10" s="1"/>
  <c r="H29" i="10"/>
  <c r="H30" i="10" s="1"/>
  <c r="J27" i="10"/>
  <c r="J28" i="10" s="1"/>
  <c r="I27" i="10"/>
  <c r="H27" i="10"/>
  <c r="H28" i="10" s="1"/>
  <c r="J20" i="10"/>
  <c r="J21" i="10" s="1"/>
  <c r="I20" i="10"/>
  <c r="H20" i="10"/>
  <c r="H21" i="10" s="1"/>
  <c r="J18" i="10"/>
  <c r="I18" i="10"/>
  <c r="I19" i="10" s="1"/>
  <c r="H18" i="10"/>
  <c r="H19" i="10" s="1"/>
  <c r="J16" i="10"/>
  <c r="J17" i="10" s="1"/>
  <c r="I16" i="10"/>
  <c r="H16" i="10"/>
  <c r="H17" i="10" s="1"/>
  <c r="J15" i="10"/>
  <c r="E24" i="4" s="1"/>
  <c r="I15" i="10"/>
  <c r="D24" i="4" s="1"/>
  <c r="H15" i="10"/>
  <c r="J14" i="10"/>
  <c r="E23" i="4" s="1"/>
  <c r="I14" i="10"/>
  <c r="D23" i="4" s="1"/>
  <c r="H14" i="10"/>
  <c r="J13" i="10"/>
  <c r="E22" i="4" s="1"/>
  <c r="I13" i="10"/>
  <c r="D22" i="4" s="1"/>
  <c r="H13" i="10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AD700" i="9"/>
  <c r="K700" i="9"/>
  <c r="J700" i="9"/>
  <c r="AD699" i="9"/>
  <c r="K699" i="9"/>
  <c r="J699" i="9"/>
  <c r="AD698" i="9"/>
  <c r="AE698" i="9" s="1"/>
  <c r="AF698" i="9" s="1"/>
  <c r="AD697" i="9"/>
  <c r="AE697" i="9" s="1"/>
  <c r="AF697" i="9" s="1"/>
  <c r="AD696" i="9"/>
  <c r="K696" i="9"/>
  <c r="J696" i="9"/>
  <c r="AD695" i="9"/>
  <c r="K695" i="9"/>
  <c r="J695" i="9"/>
  <c r="AD694" i="9"/>
  <c r="AE694" i="9" s="1"/>
  <c r="AF694" i="9" s="1"/>
  <c r="AD693" i="9"/>
  <c r="K693" i="9"/>
  <c r="J693" i="9"/>
  <c r="AD692" i="9"/>
  <c r="K692" i="9"/>
  <c r="J692" i="9"/>
  <c r="I703" i="9"/>
  <c r="H11" i="10" s="1"/>
  <c r="AD685" i="9"/>
  <c r="D685" i="9"/>
  <c r="K685" i="9" s="1"/>
  <c r="C685" i="9"/>
  <c r="AD684" i="9"/>
  <c r="D684" i="9"/>
  <c r="K684" i="9" s="1"/>
  <c r="C684" i="9"/>
  <c r="AD683" i="9"/>
  <c r="D683" i="9"/>
  <c r="K683" i="9" s="1"/>
  <c r="C683" i="9"/>
  <c r="AD390" i="9"/>
  <c r="C331" i="9"/>
  <c r="AD389" i="9"/>
  <c r="K322" i="9"/>
  <c r="J322" i="9"/>
  <c r="C322" i="9"/>
  <c r="AD388" i="9"/>
  <c r="K321" i="9"/>
  <c r="C321" i="9"/>
  <c r="AD387" i="9"/>
  <c r="K320" i="9"/>
  <c r="C320" i="9"/>
  <c r="AD386" i="9"/>
  <c r="C319" i="9"/>
  <c r="AD385" i="9"/>
  <c r="K342" i="9"/>
  <c r="C342" i="9"/>
  <c r="AD384" i="9"/>
  <c r="K330" i="9"/>
  <c r="C330" i="9"/>
  <c r="AD383" i="9"/>
  <c r="K318" i="9"/>
  <c r="C318" i="9"/>
  <c r="AD382" i="9"/>
  <c r="C317" i="9"/>
  <c r="AD381" i="9"/>
  <c r="K316" i="9"/>
  <c r="C316" i="9"/>
  <c r="AD380" i="9"/>
  <c r="K315" i="9"/>
  <c r="C315" i="9"/>
  <c r="AD379" i="9"/>
  <c r="K429" i="9"/>
  <c r="C429" i="9"/>
  <c r="AD378" i="9"/>
  <c r="C341" i="9"/>
  <c r="AD377" i="9"/>
  <c r="K340" i="9"/>
  <c r="J340" i="9"/>
  <c r="C340" i="9"/>
  <c r="AD376" i="9"/>
  <c r="K339" i="9"/>
  <c r="C339" i="9"/>
  <c r="AD375" i="9"/>
  <c r="J338" i="9"/>
  <c r="K338" i="9"/>
  <c r="C338" i="9"/>
  <c r="C333" i="9"/>
  <c r="K329" i="9"/>
  <c r="J329" i="9"/>
  <c r="C329" i="9"/>
  <c r="AD372" i="9"/>
  <c r="K314" i="9"/>
  <c r="C314" i="9"/>
  <c r="AD371" i="9"/>
  <c r="K313" i="9"/>
  <c r="C313" i="9"/>
  <c r="AD370" i="9"/>
  <c r="C312" i="9"/>
  <c r="AD369" i="9"/>
  <c r="K311" i="9"/>
  <c r="C311" i="9"/>
  <c r="AD368" i="9"/>
  <c r="K310" i="9"/>
  <c r="C310" i="9"/>
  <c r="AD367" i="9"/>
  <c r="K309" i="9"/>
  <c r="C309" i="9"/>
  <c r="AD366" i="9"/>
  <c r="C308" i="9"/>
  <c r="AD365" i="9"/>
  <c r="K307" i="9"/>
  <c r="C307" i="9"/>
  <c r="AD364" i="9"/>
  <c r="K306" i="9"/>
  <c r="C306" i="9"/>
  <c r="AD363" i="9"/>
  <c r="K305" i="9"/>
  <c r="C305" i="9"/>
  <c r="AD362" i="9"/>
  <c r="C304" i="9"/>
  <c r="AD361" i="9"/>
  <c r="K303" i="9"/>
  <c r="J303" i="9"/>
  <c r="C303" i="9"/>
  <c r="AD360" i="9"/>
  <c r="K337" i="9"/>
  <c r="C337" i="9"/>
  <c r="AD359" i="9"/>
  <c r="K336" i="9"/>
  <c r="C336" i="9"/>
  <c r="AD358" i="9"/>
  <c r="C335" i="9"/>
  <c r="AD357" i="9"/>
  <c r="C334" i="9"/>
  <c r="AD356" i="9"/>
  <c r="C328" i="9"/>
  <c r="AD355" i="9"/>
  <c r="K302" i="9"/>
  <c r="C302" i="9"/>
  <c r="AD354" i="9"/>
  <c r="C301" i="9"/>
  <c r="AD353" i="9"/>
  <c r="J300" i="9"/>
  <c r="C300" i="9"/>
  <c r="AD352" i="9"/>
  <c r="K299" i="9"/>
  <c r="C299" i="9"/>
  <c r="AD351" i="9"/>
  <c r="K298" i="9"/>
  <c r="C298" i="9"/>
  <c r="AD350" i="9"/>
  <c r="C297" i="9"/>
  <c r="AD349" i="9"/>
  <c r="K296" i="9"/>
  <c r="J296" i="9"/>
  <c r="C296" i="9"/>
  <c r="AD348" i="9"/>
  <c r="C295" i="9"/>
  <c r="AD347" i="9"/>
  <c r="K294" i="9"/>
  <c r="C294" i="9"/>
  <c r="AD346" i="9"/>
  <c r="C293" i="9"/>
  <c r="AD345" i="9"/>
  <c r="C292" i="9"/>
  <c r="AD344" i="9"/>
  <c r="K291" i="9"/>
  <c r="C291" i="9"/>
  <c r="K290" i="9"/>
  <c r="C290" i="9"/>
  <c r="AD342" i="9"/>
  <c r="C257" i="9"/>
  <c r="AD341" i="9"/>
  <c r="K251" i="9"/>
  <c r="C251" i="9"/>
  <c r="AD340" i="9"/>
  <c r="K256" i="9"/>
  <c r="C256" i="9"/>
  <c r="AD339" i="9"/>
  <c r="K252" i="9"/>
  <c r="C252" i="9"/>
  <c r="AD338" i="9"/>
  <c r="C250" i="9"/>
  <c r="AD337" i="9"/>
  <c r="J249" i="9"/>
  <c r="K249" i="9"/>
  <c r="C249" i="9"/>
  <c r="AD336" i="9"/>
  <c r="J235" i="9"/>
  <c r="K235" i="9"/>
  <c r="C235" i="9"/>
  <c r="AD335" i="9"/>
  <c r="K248" i="9"/>
  <c r="C248" i="9"/>
  <c r="AD334" i="9"/>
  <c r="C247" i="9"/>
  <c r="AD333" i="9"/>
  <c r="C255" i="9"/>
  <c r="AD332" i="9"/>
  <c r="C246" i="9"/>
  <c r="AD331" i="9"/>
  <c r="K234" i="9"/>
  <c r="C234" i="9"/>
  <c r="AD330" i="9"/>
  <c r="C233" i="9"/>
  <c r="AD329" i="9"/>
  <c r="K254" i="9"/>
  <c r="C254" i="9"/>
  <c r="AD328" i="9"/>
  <c r="K245" i="9"/>
  <c r="C245" i="9"/>
  <c r="K244" i="9"/>
  <c r="C244" i="9"/>
  <c r="AD326" i="9"/>
  <c r="C243" i="9"/>
  <c r="AD325" i="9"/>
  <c r="C242" i="9"/>
  <c r="AD324" i="9"/>
  <c r="C241" i="9"/>
  <c r="AD323" i="9"/>
  <c r="K232" i="9"/>
  <c r="C232" i="9"/>
  <c r="AD322" i="9"/>
  <c r="C231" i="9"/>
  <c r="AD321" i="9"/>
  <c r="K230" i="9"/>
  <c r="J230" i="9"/>
  <c r="C230" i="9"/>
  <c r="AD320" i="9"/>
  <c r="K229" i="9"/>
  <c r="C229" i="9"/>
  <c r="AD319" i="9"/>
  <c r="K253" i="9"/>
  <c r="C253" i="9"/>
  <c r="AD318" i="9"/>
  <c r="C240" i="9"/>
  <c r="AD317" i="9"/>
  <c r="K239" i="9"/>
  <c r="C239" i="9"/>
  <c r="AD316" i="9"/>
  <c r="C238" i="9"/>
  <c r="AD315" i="9"/>
  <c r="K237" i="9"/>
  <c r="C237" i="9"/>
  <c r="AD314" i="9"/>
  <c r="C236" i="9"/>
  <c r="AD313" i="9"/>
  <c r="C228" i="9"/>
  <c r="AD312" i="9"/>
  <c r="K227" i="9"/>
  <c r="C227" i="9"/>
  <c r="AD311" i="9"/>
  <c r="K226" i="9"/>
  <c r="C226" i="9"/>
  <c r="AD310" i="9"/>
  <c r="C224" i="9"/>
  <c r="AD309" i="9"/>
  <c r="K217" i="9"/>
  <c r="J217" i="9"/>
  <c r="C217" i="9"/>
  <c r="AD308" i="9"/>
  <c r="J223" i="9"/>
  <c r="K223" i="9"/>
  <c r="C223" i="9"/>
  <c r="AD307" i="9"/>
  <c r="C216" i="9"/>
  <c r="AD306" i="9"/>
  <c r="J222" i="9"/>
  <c r="C222" i="9"/>
  <c r="AD305" i="9"/>
  <c r="J215" i="9"/>
  <c r="C215" i="9"/>
  <c r="AD304" i="9"/>
  <c r="K221" i="9"/>
  <c r="C221" i="9"/>
  <c r="AD303" i="9"/>
  <c r="C220" i="9"/>
  <c r="AD302" i="9"/>
  <c r="K225" i="9"/>
  <c r="J225" i="9"/>
  <c r="C225" i="9"/>
  <c r="AD301" i="9"/>
  <c r="C219" i="9"/>
  <c r="AD300" i="9"/>
  <c r="C218" i="9"/>
  <c r="AD299" i="9"/>
  <c r="C210" i="9"/>
  <c r="AD298" i="9"/>
  <c r="J209" i="9"/>
  <c r="C209" i="9"/>
  <c r="AD297" i="9"/>
  <c r="K208" i="9"/>
  <c r="C208" i="9"/>
  <c r="AD296" i="9"/>
  <c r="K207" i="9"/>
  <c r="C207" i="9"/>
  <c r="AD295" i="9"/>
  <c r="C206" i="9"/>
  <c r="AD294" i="9"/>
  <c r="C205" i="9"/>
  <c r="AD293" i="9"/>
  <c r="K204" i="9"/>
  <c r="C204" i="9"/>
  <c r="AD292" i="9"/>
  <c r="J203" i="9"/>
  <c r="C203" i="9"/>
  <c r="AD291" i="9"/>
  <c r="K202" i="9"/>
  <c r="C202" i="9"/>
  <c r="AD290" i="9"/>
  <c r="J201" i="9"/>
  <c r="C201" i="9"/>
  <c r="AD289" i="9"/>
  <c r="K200" i="9"/>
  <c r="J200" i="9"/>
  <c r="C200" i="9"/>
  <c r="J198" i="9"/>
  <c r="C198" i="9"/>
  <c r="AD287" i="9"/>
  <c r="K197" i="9"/>
  <c r="C197" i="9"/>
  <c r="AD286" i="9"/>
  <c r="J212" i="9"/>
  <c r="C212" i="9"/>
  <c r="AD285" i="9"/>
  <c r="J199" i="9"/>
  <c r="C199" i="9"/>
  <c r="AD284" i="9"/>
  <c r="J196" i="9"/>
  <c r="C196" i="9"/>
  <c r="AD283" i="9"/>
  <c r="C195" i="9"/>
  <c r="AD282" i="9"/>
  <c r="J211" i="9"/>
  <c r="C211" i="9"/>
  <c r="AD281" i="9"/>
  <c r="J428" i="9"/>
  <c r="C428" i="9"/>
  <c r="AD280" i="9"/>
  <c r="J214" i="9"/>
  <c r="C214" i="9"/>
  <c r="AD279" i="9"/>
  <c r="C194" i="9"/>
  <c r="AD278" i="9"/>
  <c r="C191" i="9"/>
  <c r="AD277" i="9"/>
  <c r="K190" i="9"/>
  <c r="C190" i="9"/>
  <c r="AD276" i="9"/>
  <c r="J185" i="9"/>
  <c r="C185" i="9"/>
  <c r="AD275" i="9"/>
  <c r="K182" i="9"/>
  <c r="C182" i="9"/>
  <c r="AD274" i="9"/>
  <c r="C427" i="9"/>
  <c r="AD273" i="9"/>
  <c r="J213" i="9"/>
  <c r="K213" i="9"/>
  <c r="C213" i="9"/>
  <c r="AD272" i="9"/>
  <c r="K193" i="9"/>
  <c r="J193" i="9"/>
  <c r="C193" i="9"/>
  <c r="AD271" i="9"/>
  <c r="J189" i="9"/>
  <c r="K189" i="9"/>
  <c r="C189" i="9"/>
  <c r="AD270" i="9"/>
  <c r="K188" i="9"/>
  <c r="J188" i="9"/>
  <c r="C188" i="9"/>
  <c r="AD269" i="9"/>
  <c r="K184" i="9"/>
  <c r="J184" i="9"/>
  <c r="C184" i="9"/>
  <c r="AD268" i="9"/>
  <c r="J181" i="9"/>
  <c r="C181" i="9"/>
  <c r="C426" i="9"/>
  <c r="K192" i="9"/>
  <c r="J192" i="9"/>
  <c r="C192" i="9"/>
  <c r="AD265" i="9"/>
  <c r="K187" i="9"/>
  <c r="J187" i="9"/>
  <c r="C187" i="9"/>
  <c r="AD264" i="9"/>
  <c r="J186" i="9"/>
  <c r="C186" i="9"/>
  <c r="AD263" i="9"/>
  <c r="K183" i="9"/>
  <c r="C183" i="9"/>
  <c r="J180" i="9"/>
  <c r="C180" i="9"/>
  <c r="C171" i="9"/>
  <c r="AD260" i="9"/>
  <c r="C170" i="9"/>
  <c r="AD259" i="9"/>
  <c r="K169" i="9"/>
  <c r="C169" i="9"/>
  <c r="AD258" i="9"/>
  <c r="J168" i="9"/>
  <c r="C168" i="9"/>
  <c r="C167" i="9"/>
  <c r="AD256" i="9"/>
  <c r="K166" i="9"/>
  <c r="C166" i="9"/>
  <c r="AD255" i="9"/>
  <c r="C161" i="9"/>
  <c r="AD254" i="9"/>
  <c r="K165" i="9"/>
  <c r="J165" i="9"/>
  <c r="C165" i="9"/>
  <c r="AD253" i="9"/>
  <c r="K164" i="9"/>
  <c r="J164" i="9"/>
  <c r="C164" i="9"/>
  <c r="AD252" i="9"/>
  <c r="K163" i="9"/>
  <c r="C163" i="9"/>
  <c r="C162" i="9"/>
  <c r="AD250" i="9"/>
  <c r="J149" i="9"/>
  <c r="C149" i="9"/>
  <c r="AD249" i="9"/>
  <c r="K160" i="9"/>
  <c r="C160" i="9"/>
  <c r="AD248" i="9"/>
  <c r="K159" i="9"/>
  <c r="C159" i="9"/>
  <c r="AD247" i="9"/>
  <c r="C154" i="9"/>
  <c r="AD246" i="9"/>
  <c r="C148" i="9"/>
  <c r="AD245" i="9"/>
  <c r="K147" i="9"/>
  <c r="C147" i="9"/>
  <c r="AD244" i="9"/>
  <c r="K158" i="9"/>
  <c r="C158" i="9"/>
  <c r="AD243" i="9"/>
  <c r="C157" i="9"/>
  <c r="AD242" i="9"/>
  <c r="J153" i="9"/>
  <c r="C153" i="9"/>
  <c r="AD241" i="9"/>
  <c r="C146" i="9"/>
  <c r="AD240" i="9"/>
  <c r="K145" i="9"/>
  <c r="C145" i="9"/>
  <c r="AD239" i="9"/>
  <c r="C156" i="9"/>
  <c r="AD238" i="9"/>
  <c r="K155" i="9"/>
  <c r="J155" i="9"/>
  <c r="C155" i="9"/>
  <c r="AD237" i="9"/>
  <c r="K152" i="9"/>
  <c r="J152" i="9"/>
  <c r="C152" i="9"/>
  <c r="AD236" i="9"/>
  <c r="K144" i="9"/>
  <c r="C144" i="9"/>
  <c r="AD235" i="9"/>
  <c r="C143" i="9"/>
  <c r="AD234" i="9"/>
  <c r="J151" i="9"/>
  <c r="C151" i="9"/>
  <c r="AD233" i="9"/>
  <c r="K142" i="9"/>
  <c r="C142" i="9"/>
  <c r="AD232" i="9"/>
  <c r="K141" i="9"/>
  <c r="C141" i="9"/>
  <c r="AD231" i="9"/>
  <c r="C150" i="9"/>
  <c r="AD230" i="9"/>
  <c r="C140" i="9"/>
  <c r="AD229" i="9"/>
  <c r="K139" i="9"/>
  <c r="C139" i="9"/>
  <c r="AD228" i="9"/>
  <c r="K138" i="9"/>
  <c r="C138" i="9"/>
  <c r="AD227" i="9"/>
  <c r="C132" i="9"/>
  <c r="AD226" i="9"/>
  <c r="J137" i="9"/>
  <c r="C137" i="9"/>
  <c r="AD225" i="9"/>
  <c r="C136" i="9"/>
  <c r="AD224" i="9"/>
  <c r="K135" i="9"/>
  <c r="C135" i="9"/>
  <c r="AD223" i="9"/>
  <c r="C134" i="9"/>
  <c r="AD222" i="9"/>
  <c r="K133" i="9"/>
  <c r="J133" i="9"/>
  <c r="C133" i="9"/>
  <c r="AD221" i="9"/>
  <c r="K637" i="9"/>
  <c r="J637" i="9"/>
  <c r="C637" i="9"/>
  <c r="AD220" i="9"/>
  <c r="K636" i="9"/>
  <c r="C636" i="9"/>
  <c r="AD219" i="9"/>
  <c r="C635" i="9"/>
  <c r="AD218" i="9"/>
  <c r="J634" i="9"/>
  <c r="C634" i="9"/>
  <c r="AD217" i="9"/>
  <c r="K633" i="9"/>
  <c r="C633" i="9"/>
  <c r="AD216" i="9"/>
  <c r="K632" i="9"/>
  <c r="C632" i="9"/>
  <c r="AD215" i="9"/>
  <c r="C631" i="9"/>
  <c r="AD214" i="9"/>
  <c r="C629" i="9"/>
  <c r="AD213" i="9"/>
  <c r="K630" i="9"/>
  <c r="C630" i="9"/>
  <c r="AD212" i="9"/>
  <c r="C628" i="9"/>
  <c r="AD211" i="9"/>
  <c r="C627" i="9"/>
  <c r="AD210" i="9"/>
  <c r="J616" i="9"/>
  <c r="C616" i="9"/>
  <c r="AD209" i="9"/>
  <c r="C615" i="9"/>
  <c r="AD208" i="9"/>
  <c r="C614" i="9"/>
  <c r="AD207" i="9"/>
  <c r="C613" i="9"/>
  <c r="AD206" i="9"/>
  <c r="K612" i="9"/>
  <c r="J612" i="9"/>
  <c r="C612" i="9"/>
  <c r="AD205" i="9"/>
  <c r="K611" i="9"/>
  <c r="J611" i="9"/>
  <c r="C611" i="9"/>
  <c r="AD204" i="9"/>
  <c r="C610" i="9"/>
  <c r="AD203" i="9"/>
  <c r="C609" i="9"/>
  <c r="AD202" i="9"/>
  <c r="J608" i="9"/>
  <c r="C608" i="9"/>
  <c r="AD201" i="9"/>
  <c r="K607" i="9"/>
  <c r="C607" i="9"/>
  <c r="AD200" i="9"/>
  <c r="C606" i="9"/>
  <c r="AD199" i="9"/>
  <c r="C605" i="9"/>
  <c r="AD198" i="9"/>
  <c r="C601" i="9"/>
  <c r="AD197" i="9"/>
  <c r="K599" i="9"/>
  <c r="C599" i="9"/>
  <c r="AD196" i="9"/>
  <c r="C598" i="9"/>
  <c r="AD195" i="9"/>
  <c r="C597" i="9"/>
  <c r="AD194" i="9"/>
  <c r="C596" i="9"/>
  <c r="AD193" i="9"/>
  <c r="K595" i="9"/>
  <c r="C595" i="9"/>
  <c r="AD192" i="9"/>
  <c r="K594" i="9"/>
  <c r="C594" i="9"/>
  <c r="AD191" i="9"/>
  <c r="C600" i="9"/>
  <c r="AD190" i="9"/>
  <c r="J593" i="9"/>
  <c r="C593" i="9"/>
  <c r="AD189" i="9"/>
  <c r="K592" i="9"/>
  <c r="C592" i="9"/>
  <c r="AD188" i="9"/>
  <c r="K591" i="9"/>
  <c r="C591" i="9"/>
  <c r="AD187" i="9"/>
  <c r="C590" i="9"/>
  <c r="AD186" i="9"/>
  <c r="J589" i="9"/>
  <c r="C589" i="9"/>
  <c r="AD185" i="9"/>
  <c r="K588" i="9"/>
  <c r="C588" i="9"/>
  <c r="AD184" i="9"/>
  <c r="C586" i="9"/>
  <c r="AD183" i="9"/>
  <c r="C585" i="9"/>
  <c r="AD182" i="9"/>
  <c r="J584" i="9"/>
  <c r="C584" i="9"/>
  <c r="AD181" i="9"/>
  <c r="J583" i="9"/>
  <c r="C583" i="9"/>
  <c r="AD180" i="9"/>
  <c r="C582" i="9"/>
  <c r="AD179" i="9"/>
  <c r="C577" i="9"/>
  <c r="AD178" i="9"/>
  <c r="J576" i="9"/>
  <c r="C576" i="9"/>
  <c r="AD177" i="9"/>
  <c r="J581" i="9"/>
  <c r="C581" i="9"/>
  <c r="AD176" i="9"/>
  <c r="K580" i="9"/>
  <c r="C580" i="9"/>
  <c r="AD175" i="9"/>
  <c r="C579" i="9"/>
  <c r="AD174" i="9"/>
  <c r="J578" i="9"/>
  <c r="C578" i="9"/>
  <c r="AD173" i="9"/>
  <c r="J424" i="9"/>
  <c r="C424" i="9"/>
  <c r="AD172" i="9"/>
  <c r="C423" i="9"/>
  <c r="AD171" i="9"/>
  <c r="C344" i="9"/>
  <c r="AD170" i="9"/>
  <c r="J288" i="9"/>
  <c r="C288" i="9"/>
  <c r="AD169" i="9"/>
  <c r="K269" i="9"/>
  <c r="J269" i="9"/>
  <c r="C269" i="9"/>
  <c r="AD168" i="9"/>
  <c r="K268" i="9"/>
  <c r="C268" i="9"/>
  <c r="AD167" i="9"/>
  <c r="C267" i="9"/>
  <c r="AD166" i="9"/>
  <c r="J266" i="9"/>
  <c r="C266" i="9"/>
  <c r="AD165" i="9"/>
  <c r="K265" i="9"/>
  <c r="C265" i="9"/>
  <c r="AD164" i="9"/>
  <c r="J264" i="9"/>
  <c r="C264" i="9"/>
  <c r="AD163" i="9"/>
  <c r="C262" i="9"/>
  <c r="AD162" i="9"/>
  <c r="J261" i="9"/>
  <c r="C261" i="9"/>
  <c r="AD161" i="9"/>
  <c r="J287" i="9"/>
  <c r="C287" i="9"/>
  <c r="AD160" i="9"/>
  <c r="K286" i="9"/>
  <c r="C286" i="9"/>
  <c r="AD159" i="9"/>
  <c r="C274" i="9"/>
  <c r="AD158" i="9"/>
  <c r="K263" i="9"/>
  <c r="C263" i="9"/>
  <c r="AD157" i="9"/>
  <c r="J285" i="9"/>
  <c r="C285" i="9"/>
  <c r="AD156" i="9"/>
  <c r="K284" i="9"/>
  <c r="C284" i="9"/>
  <c r="AD155" i="9"/>
  <c r="K273" i="9"/>
  <c r="J273" i="9"/>
  <c r="C273" i="9"/>
  <c r="AD154" i="9"/>
  <c r="K260" i="9"/>
  <c r="J260" i="9"/>
  <c r="C260" i="9"/>
  <c r="AD153" i="9"/>
  <c r="J283" i="9"/>
  <c r="C283" i="9"/>
  <c r="AD152" i="9"/>
  <c r="K282" i="9"/>
  <c r="C282" i="9"/>
  <c r="AD151" i="9"/>
  <c r="K272" i="9"/>
  <c r="J272" i="9"/>
  <c r="C272" i="9"/>
  <c r="AD150" i="9"/>
  <c r="K281" i="9"/>
  <c r="J281" i="9"/>
  <c r="C281" i="9"/>
  <c r="AD149" i="9"/>
  <c r="J280" i="9"/>
  <c r="C280" i="9"/>
  <c r="AD148" i="9"/>
  <c r="K271" i="9"/>
  <c r="C271" i="9"/>
  <c r="AD147" i="9"/>
  <c r="K259" i="9"/>
  <c r="J259" i="9"/>
  <c r="C259" i="9"/>
  <c r="AD146" i="9"/>
  <c r="K289" i="9"/>
  <c r="J289" i="9"/>
  <c r="C289" i="9"/>
  <c r="AD145" i="9"/>
  <c r="J279" i="9"/>
  <c r="C279" i="9"/>
  <c r="AD144" i="9"/>
  <c r="K278" i="9"/>
  <c r="C278" i="9"/>
  <c r="AD143" i="9"/>
  <c r="K277" i="9"/>
  <c r="J277" i="9"/>
  <c r="C277" i="9"/>
  <c r="AD142" i="9"/>
  <c r="K276" i="9"/>
  <c r="J276" i="9"/>
  <c r="C276" i="9"/>
  <c r="AD141" i="9"/>
  <c r="J275" i="9"/>
  <c r="C275" i="9"/>
  <c r="AD140" i="9"/>
  <c r="K270" i="9"/>
  <c r="C270" i="9"/>
  <c r="AD139" i="9"/>
  <c r="K258" i="9"/>
  <c r="J258" i="9"/>
  <c r="C258" i="9"/>
  <c r="K179" i="9"/>
  <c r="J179" i="9"/>
  <c r="C179" i="9"/>
  <c r="AD137" i="9"/>
  <c r="J177" i="9"/>
  <c r="C177" i="9"/>
  <c r="AD136" i="9"/>
  <c r="K178" i="9"/>
  <c r="C178" i="9"/>
  <c r="AD135" i="9"/>
  <c r="K176" i="9"/>
  <c r="J176" i="9"/>
  <c r="C176" i="9"/>
  <c r="AD134" i="9"/>
  <c r="K175" i="9"/>
  <c r="J175" i="9"/>
  <c r="C175" i="9"/>
  <c r="AD133" i="9"/>
  <c r="J174" i="9"/>
  <c r="C174" i="9"/>
  <c r="AD132" i="9"/>
  <c r="K173" i="9"/>
  <c r="C173" i="9"/>
  <c r="AD131" i="9"/>
  <c r="K172" i="9"/>
  <c r="J172" i="9"/>
  <c r="C172" i="9"/>
  <c r="AD130" i="9"/>
  <c r="K131" i="9"/>
  <c r="J131" i="9"/>
  <c r="C131" i="9"/>
  <c r="AD129" i="9"/>
  <c r="J130" i="9"/>
  <c r="C130" i="9"/>
  <c r="AD128" i="9"/>
  <c r="K129" i="9"/>
  <c r="C129" i="9"/>
  <c r="AD127" i="9"/>
  <c r="K128" i="9"/>
  <c r="J128" i="9"/>
  <c r="C128" i="9"/>
  <c r="AD126" i="9"/>
  <c r="K127" i="9"/>
  <c r="J127" i="9"/>
  <c r="C127" i="9"/>
  <c r="AD125" i="9"/>
  <c r="J126" i="9"/>
  <c r="C126" i="9"/>
  <c r="AD124" i="9"/>
  <c r="J125" i="9"/>
  <c r="C125" i="9"/>
  <c r="AD123" i="9"/>
  <c r="J124" i="9"/>
  <c r="C124" i="9"/>
  <c r="AD122" i="9"/>
  <c r="J123" i="9"/>
  <c r="K123" i="9"/>
  <c r="C123" i="9"/>
  <c r="AD121" i="9"/>
  <c r="K122" i="9"/>
  <c r="C122" i="9"/>
  <c r="AD120" i="9"/>
  <c r="K121" i="9"/>
  <c r="J121" i="9"/>
  <c r="C121" i="9"/>
  <c r="AD119" i="9"/>
  <c r="K120" i="9"/>
  <c r="J120" i="9"/>
  <c r="C120" i="9"/>
  <c r="AD118" i="9"/>
  <c r="J119" i="9"/>
  <c r="K119" i="9"/>
  <c r="C119" i="9"/>
  <c r="AD117" i="9"/>
  <c r="K118" i="9"/>
  <c r="C118" i="9"/>
  <c r="AD116" i="9"/>
  <c r="K117" i="9"/>
  <c r="J117" i="9"/>
  <c r="C117" i="9"/>
  <c r="AD115" i="9"/>
  <c r="K116" i="9"/>
  <c r="J116" i="9"/>
  <c r="C116" i="9"/>
  <c r="AD114" i="9"/>
  <c r="J115" i="9"/>
  <c r="K115" i="9"/>
  <c r="C115" i="9"/>
  <c r="AD113" i="9"/>
  <c r="K114" i="9"/>
  <c r="C114" i="9"/>
  <c r="AD112" i="9"/>
  <c r="K113" i="9"/>
  <c r="J113" i="9"/>
  <c r="C113" i="9"/>
  <c r="AD111" i="9"/>
  <c r="K112" i="9"/>
  <c r="J112" i="9"/>
  <c r="C112" i="9"/>
  <c r="AD110" i="9"/>
  <c r="J111" i="9"/>
  <c r="K111" i="9"/>
  <c r="C111" i="9"/>
  <c r="AD109" i="9"/>
  <c r="K110" i="9"/>
  <c r="C110" i="9"/>
  <c r="AD108" i="9"/>
  <c r="K109" i="9"/>
  <c r="J109" i="9"/>
  <c r="C109" i="9"/>
  <c r="AD107" i="9"/>
  <c r="K108" i="9"/>
  <c r="J108" i="9"/>
  <c r="C108" i="9"/>
  <c r="AD106" i="9"/>
  <c r="J93" i="9"/>
  <c r="K93" i="9"/>
  <c r="C93" i="9"/>
  <c r="AD105" i="9"/>
  <c r="K92" i="9"/>
  <c r="C92" i="9"/>
  <c r="AD104" i="9"/>
  <c r="K91" i="9"/>
  <c r="J91" i="9"/>
  <c r="C91" i="9"/>
  <c r="AD103" i="9"/>
  <c r="K90" i="9"/>
  <c r="J90" i="9"/>
  <c r="C90" i="9"/>
  <c r="AD102" i="9"/>
  <c r="J89" i="9"/>
  <c r="K89" i="9"/>
  <c r="C89" i="9"/>
  <c r="AD101" i="9"/>
  <c r="K88" i="9"/>
  <c r="C88" i="9"/>
  <c r="AD100" i="9"/>
  <c r="K107" i="9"/>
  <c r="J107" i="9"/>
  <c r="C107" i="9"/>
  <c r="AD99" i="9"/>
  <c r="K106" i="9"/>
  <c r="J106" i="9"/>
  <c r="C106" i="9"/>
  <c r="AD98" i="9"/>
  <c r="J100" i="9"/>
  <c r="K100" i="9"/>
  <c r="C100" i="9"/>
  <c r="AD97" i="9"/>
  <c r="K87" i="9"/>
  <c r="C87" i="9"/>
  <c r="AD96" i="9"/>
  <c r="K105" i="9"/>
  <c r="J105" i="9"/>
  <c r="C105" i="9"/>
  <c r="AD95" i="9"/>
  <c r="K99" i="9"/>
  <c r="J99" i="9"/>
  <c r="C99" i="9"/>
  <c r="AD94" i="9"/>
  <c r="J104" i="9"/>
  <c r="K104" i="9"/>
  <c r="C104" i="9"/>
  <c r="AD93" i="9"/>
  <c r="K98" i="9"/>
  <c r="C98" i="9"/>
  <c r="AD92" i="9"/>
  <c r="K103" i="9"/>
  <c r="J103" i="9"/>
  <c r="C103" i="9"/>
  <c r="AD91" i="9"/>
  <c r="K97" i="9"/>
  <c r="J97" i="9"/>
  <c r="C97" i="9"/>
  <c r="AD90" i="9"/>
  <c r="J102" i="9"/>
  <c r="K102" i="9"/>
  <c r="C102" i="9"/>
  <c r="AD89" i="9"/>
  <c r="K96" i="9"/>
  <c r="C96" i="9"/>
  <c r="AD88" i="9"/>
  <c r="K101" i="9"/>
  <c r="J101" i="9"/>
  <c r="C101" i="9"/>
  <c r="AD87" i="9"/>
  <c r="K95" i="9"/>
  <c r="J95" i="9"/>
  <c r="C95" i="9"/>
  <c r="AD86" i="9"/>
  <c r="J86" i="9"/>
  <c r="K86" i="9"/>
  <c r="C86" i="9"/>
  <c r="AD85" i="9"/>
  <c r="K85" i="9"/>
  <c r="C85" i="9"/>
  <c r="AD84" i="9"/>
  <c r="K94" i="9"/>
  <c r="J94" i="9"/>
  <c r="C94" i="9"/>
  <c r="AD83" i="9"/>
  <c r="K84" i="9"/>
  <c r="J84" i="9"/>
  <c r="C84" i="9"/>
  <c r="AD82" i="9"/>
  <c r="J83" i="9"/>
  <c r="K83" i="9"/>
  <c r="C83" i="9"/>
  <c r="AD81" i="9"/>
  <c r="K82" i="9"/>
  <c r="C82" i="9"/>
  <c r="AD80" i="9"/>
  <c r="K81" i="9"/>
  <c r="J81" i="9"/>
  <c r="C81" i="9"/>
  <c r="AD79" i="9"/>
  <c r="K66" i="9"/>
  <c r="J66" i="9"/>
  <c r="C66" i="9"/>
  <c r="AD78" i="9"/>
  <c r="J75" i="9"/>
  <c r="K75" i="9"/>
  <c r="C75" i="9"/>
  <c r="AD77" i="9"/>
  <c r="K80" i="9"/>
  <c r="C80" i="9"/>
  <c r="AD76" i="9"/>
  <c r="K79" i="9"/>
  <c r="J79" i="9"/>
  <c r="C79" i="9"/>
  <c r="AD75" i="9"/>
  <c r="K78" i="9"/>
  <c r="J78" i="9"/>
  <c r="C78" i="9"/>
  <c r="AD74" i="9"/>
  <c r="J77" i="9"/>
  <c r="K77" i="9"/>
  <c r="C77" i="9"/>
  <c r="AD73" i="9"/>
  <c r="K76" i="9"/>
  <c r="C76" i="9"/>
  <c r="AD72" i="9"/>
  <c r="K74" i="9"/>
  <c r="J74" i="9"/>
  <c r="C74" i="9"/>
  <c r="AD71" i="9"/>
  <c r="K73" i="9"/>
  <c r="J73" i="9"/>
  <c r="C73" i="9"/>
  <c r="AD70" i="9"/>
  <c r="J72" i="9"/>
  <c r="K72" i="9"/>
  <c r="C72" i="9"/>
  <c r="AD69" i="9"/>
  <c r="K71" i="9"/>
  <c r="C71" i="9"/>
  <c r="AD68" i="9"/>
  <c r="K70" i="9"/>
  <c r="J70" i="9"/>
  <c r="C70" i="9"/>
  <c r="AD67" i="9"/>
  <c r="K69" i="9"/>
  <c r="J69" i="9"/>
  <c r="C69" i="9"/>
  <c r="AD66" i="9"/>
  <c r="J68" i="9"/>
  <c r="K68" i="9"/>
  <c r="C68" i="9"/>
  <c r="AD65" i="9"/>
  <c r="K67" i="9"/>
  <c r="C67" i="9"/>
  <c r="AD64" i="9"/>
  <c r="K65" i="9"/>
  <c r="J65" i="9"/>
  <c r="C65" i="9"/>
  <c r="AD63" i="9"/>
  <c r="K64" i="9"/>
  <c r="J64" i="9"/>
  <c r="C64" i="9"/>
  <c r="AD62" i="9"/>
  <c r="J63" i="9"/>
  <c r="K63" i="9"/>
  <c r="C63" i="9"/>
  <c r="AD61" i="9"/>
  <c r="K62" i="9"/>
  <c r="C62" i="9"/>
  <c r="AD60" i="9"/>
  <c r="K61" i="9"/>
  <c r="J61" i="9"/>
  <c r="C61" i="9"/>
  <c r="AD59" i="9"/>
  <c r="K60" i="9"/>
  <c r="J60" i="9"/>
  <c r="C60" i="9"/>
  <c r="AD58" i="9"/>
  <c r="J59" i="9"/>
  <c r="K59" i="9"/>
  <c r="C59" i="9"/>
  <c r="AD57" i="9"/>
  <c r="K53" i="9"/>
  <c r="C53" i="9"/>
  <c r="AD56" i="9"/>
  <c r="K52" i="9"/>
  <c r="J52" i="9"/>
  <c r="C52" i="9"/>
  <c r="AD55" i="9"/>
  <c r="K58" i="9"/>
  <c r="J58" i="9"/>
  <c r="C58" i="9"/>
  <c r="AD54" i="9"/>
  <c r="J51" i="9"/>
  <c r="C51" i="9"/>
  <c r="AD53" i="9"/>
  <c r="K57" i="9"/>
  <c r="C57" i="9"/>
  <c r="AD52" i="9"/>
  <c r="K50" i="9"/>
  <c r="C50" i="9"/>
  <c r="AD51" i="9"/>
  <c r="C56" i="9"/>
  <c r="AD50" i="9"/>
  <c r="C49" i="9"/>
  <c r="AD49" i="9"/>
  <c r="C55" i="9"/>
  <c r="AD48" i="9"/>
  <c r="K48" i="9"/>
  <c r="C48" i="9"/>
  <c r="AD47" i="9"/>
  <c r="K54" i="9"/>
  <c r="C54" i="9"/>
  <c r="AD46" i="9"/>
  <c r="J47" i="9"/>
  <c r="C47" i="9"/>
  <c r="AD45" i="9"/>
  <c r="K46" i="9"/>
  <c r="C46" i="9"/>
  <c r="AD44" i="9"/>
  <c r="K45" i="9"/>
  <c r="C45" i="9"/>
  <c r="AD43" i="9"/>
  <c r="K44" i="9"/>
  <c r="C44" i="9"/>
  <c r="AD42" i="9"/>
  <c r="J43" i="9"/>
  <c r="C43" i="9"/>
  <c r="AD41" i="9"/>
  <c r="K42" i="9"/>
  <c r="C42" i="9"/>
  <c r="AD40" i="9"/>
  <c r="K41" i="9"/>
  <c r="C41" i="9"/>
  <c r="AD39" i="9"/>
  <c r="K40" i="9"/>
  <c r="C40" i="9"/>
  <c r="AD38" i="9"/>
  <c r="J39" i="9"/>
  <c r="C39" i="9"/>
  <c r="AD37" i="9"/>
  <c r="K38" i="9"/>
  <c r="C38" i="9"/>
  <c r="AD36" i="9"/>
  <c r="K37" i="9"/>
  <c r="C37" i="9"/>
  <c r="AD35" i="9"/>
  <c r="J36" i="9"/>
  <c r="K36" i="9"/>
  <c r="C36" i="9"/>
  <c r="AD34" i="9"/>
  <c r="K34" i="9"/>
  <c r="J34" i="9"/>
  <c r="C34" i="9"/>
  <c r="AD33" i="9"/>
  <c r="J33" i="9"/>
  <c r="K33" i="9"/>
  <c r="C33" i="9"/>
  <c r="AD32" i="9"/>
  <c r="K32" i="9"/>
  <c r="C32" i="9"/>
  <c r="AD31" i="9"/>
  <c r="K31" i="9"/>
  <c r="C31" i="9"/>
  <c r="AD30" i="9"/>
  <c r="J30" i="9"/>
  <c r="C30" i="9"/>
  <c r="AD29" i="9"/>
  <c r="K29" i="9"/>
  <c r="C29" i="9"/>
  <c r="AD28" i="9"/>
  <c r="K28" i="9"/>
  <c r="C28" i="9"/>
  <c r="AD27" i="9"/>
  <c r="K27" i="9"/>
  <c r="C27" i="9"/>
  <c r="AD26" i="9"/>
  <c r="J26" i="9"/>
  <c r="C26" i="9"/>
  <c r="AD25" i="9"/>
  <c r="K25" i="9"/>
  <c r="C25" i="9"/>
  <c r="AD24" i="9"/>
  <c r="K24" i="9"/>
  <c r="C24" i="9"/>
  <c r="AD23" i="9"/>
  <c r="K23" i="9"/>
  <c r="C23" i="9"/>
  <c r="AD22" i="9"/>
  <c r="J22" i="9"/>
  <c r="C22" i="9"/>
  <c r="AD21" i="9"/>
  <c r="K21" i="9"/>
  <c r="C21" i="9"/>
  <c r="AD20" i="9"/>
  <c r="K20" i="9"/>
  <c r="C20" i="9"/>
  <c r="AD19" i="9"/>
  <c r="C18" i="9"/>
  <c r="AD18" i="9"/>
  <c r="C19" i="9"/>
  <c r="AD17" i="9"/>
  <c r="C17" i="9"/>
  <c r="AD16" i="9"/>
  <c r="K16" i="9"/>
  <c r="C16" i="9"/>
  <c r="AD15" i="9"/>
  <c r="K15" i="9"/>
  <c r="C15" i="9"/>
  <c r="AD14" i="9"/>
  <c r="J14" i="9"/>
  <c r="C14" i="9"/>
  <c r="AD13" i="9"/>
  <c r="K13" i="9"/>
  <c r="C13" i="9"/>
  <c r="AD12" i="9"/>
  <c r="K12" i="9"/>
  <c r="C12" i="9"/>
  <c r="AD11" i="9"/>
  <c r="K11" i="9"/>
  <c r="C11" i="9"/>
  <c r="AD10" i="9"/>
  <c r="J10" i="9"/>
  <c r="C10" i="9"/>
  <c r="AD9" i="9"/>
  <c r="K9" i="9"/>
  <c r="C9" i="9"/>
  <c r="AD8" i="9"/>
  <c r="D8" i="9"/>
  <c r="I62" i="10" s="1"/>
  <c r="C8" i="9"/>
  <c r="AD6" i="9"/>
  <c r="AE611" i="9" l="1"/>
  <c r="AF611" i="9" s="1"/>
  <c r="AE637" i="9"/>
  <c r="AF637" i="9" s="1"/>
  <c r="AE612" i="9"/>
  <c r="AF612" i="9" s="1"/>
  <c r="AE695" i="9"/>
  <c r="AF695" i="9" s="1"/>
  <c r="J62" i="10"/>
  <c r="K62" i="10" s="1"/>
  <c r="H62" i="10"/>
  <c r="H63" i="10" s="1"/>
  <c r="J25" i="7"/>
  <c r="J32" i="7" s="1"/>
  <c r="V25" i="7"/>
  <c r="AE64" i="9"/>
  <c r="AF64" i="9" s="1"/>
  <c r="AE112" i="9"/>
  <c r="AF112" i="9" s="1"/>
  <c r="J683" i="9"/>
  <c r="AE683" i="9" s="1"/>
  <c r="AF683" i="9" s="1"/>
  <c r="AE693" i="9"/>
  <c r="AF693" i="9" s="1"/>
  <c r="AE58" i="9"/>
  <c r="AF58" i="9" s="1"/>
  <c r="AE74" i="9"/>
  <c r="AF74" i="9" s="1"/>
  <c r="AE90" i="9"/>
  <c r="AF90" i="9" s="1"/>
  <c r="AE106" i="9"/>
  <c r="AF106" i="9" s="1"/>
  <c r="AE699" i="9"/>
  <c r="AF699" i="9" s="1"/>
  <c r="AE68" i="9"/>
  <c r="AF68" i="9" s="1"/>
  <c r="AE70" i="9"/>
  <c r="AF70" i="9" s="1"/>
  <c r="AE84" i="9"/>
  <c r="AF84" i="9" s="1"/>
  <c r="AE86" i="9"/>
  <c r="AF86" i="9" s="1"/>
  <c r="AE100" i="9"/>
  <c r="AF100" i="9" s="1"/>
  <c r="AE102" i="9"/>
  <c r="AF102" i="9" s="1"/>
  <c r="AE116" i="9"/>
  <c r="AF116" i="9" s="1"/>
  <c r="AE127" i="9"/>
  <c r="AF127" i="9" s="1"/>
  <c r="J685" i="9"/>
  <c r="AE685" i="9" s="1"/>
  <c r="AF685" i="9" s="1"/>
  <c r="AE692" i="9"/>
  <c r="AF692" i="9" s="1"/>
  <c r="AE700" i="9"/>
  <c r="AF700" i="9" s="1"/>
  <c r="W25" i="5"/>
  <c r="AE696" i="9"/>
  <c r="AF696" i="9" s="1"/>
  <c r="AE66" i="9"/>
  <c r="AF66" i="9" s="1"/>
  <c r="AE60" i="9"/>
  <c r="AF60" i="9" s="1"/>
  <c r="AE78" i="9"/>
  <c r="AF78" i="9" s="1"/>
  <c r="AE94" i="9"/>
  <c r="AF94" i="9" s="1"/>
  <c r="AE108" i="9"/>
  <c r="AF108" i="9" s="1"/>
  <c r="AE131" i="9"/>
  <c r="AF131" i="9" s="1"/>
  <c r="AE155" i="9"/>
  <c r="AF155" i="9" s="1"/>
  <c r="AE72" i="9"/>
  <c r="AF72" i="9" s="1"/>
  <c r="AE104" i="9"/>
  <c r="AF104" i="9" s="1"/>
  <c r="AE120" i="9"/>
  <c r="AF120" i="9" s="1"/>
  <c r="AE375" i="9"/>
  <c r="AF375" i="9" s="1"/>
  <c r="AE389" i="9"/>
  <c r="AF389" i="9" s="1"/>
  <c r="J9" i="9"/>
  <c r="AE9" i="9" s="1"/>
  <c r="AF9" i="9" s="1"/>
  <c r="J11" i="9"/>
  <c r="AE11" i="9" s="1"/>
  <c r="AF11" i="9" s="1"/>
  <c r="K576" i="9"/>
  <c r="AE576" i="9" s="1"/>
  <c r="AF576" i="9" s="1"/>
  <c r="K211" i="9"/>
  <c r="J254" i="9"/>
  <c r="AE329" i="9" s="1"/>
  <c r="AF329" i="9" s="1"/>
  <c r="J311" i="9"/>
  <c r="AE369" i="9" s="1"/>
  <c r="AF369" i="9" s="1"/>
  <c r="J342" i="9"/>
  <c r="AE385" i="9" s="1"/>
  <c r="AF385" i="9" s="1"/>
  <c r="C54" i="4"/>
  <c r="E83" i="4" s="1"/>
  <c r="K10" i="9"/>
  <c r="AE10" i="9" s="1"/>
  <c r="AF10" i="9" s="1"/>
  <c r="K424" i="9"/>
  <c r="AE424" i="9" s="1"/>
  <c r="AF424" i="9" s="1"/>
  <c r="J588" i="9"/>
  <c r="J591" i="9"/>
  <c r="J592" i="9"/>
  <c r="J594" i="9"/>
  <c r="J595" i="9"/>
  <c r="K428" i="9"/>
  <c r="AE281" i="9" s="1"/>
  <c r="AF281" i="9" s="1"/>
  <c r="J313" i="9"/>
  <c r="AE371" i="9" s="1"/>
  <c r="AF371" i="9" s="1"/>
  <c r="J320" i="9"/>
  <c r="AE387" i="9" s="1"/>
  <c r="AF387" i="9" s="1"/>
  <c r="J42" i="9"/>
  <c r="K43" i="9"/>
  <c r="J44" i="9"/>
  <c r="K125" i="9"/>
  <c r="K126" i="9"/>
  <c r="AE126" i="9" s="1"/>
  <c r="AF126" i="9" s="1"/>
  <c r="K130" i="9"/>
  <c r="K174" i="9"/>
  <c r="AE133" i="9" s="1"/>
  <c r="AF133" i="9" s="1"/>
  <c r="K177" i="9"/>
  <c r="K275" i="9"/>
  <c r="K279" i="9"/>
  <c r="K280" i="9"/>
  <c r="K283" i="9"/>
  <c r="K285" i="9"/>
  <c r="J263" i="9"/>
  <c r="K264" i="9"/>
  <c r="AE164" i="9" s="1"/>
  <c r="AF164" i="9" s="1"/>
  <c r="J265" i="9"/>
  <c r="AE165" i="9" s="1"/>
  <c r="AF165" i="9" s="1"/>
  <c r="K589" i="9"/>
  <c r="K593" i="9"/>
  <c r="AE593" i="9" s="1"/>
  <c r="AF593" i="9" s="1"/>
  <c r="J607" i="9"/>
  <c r="J633" i="9"/>
  <c r="J142" i="9"/>
  <c r="AE142" i="9" s="1"/>
  <c r="AF142" i="9" s="1"/>
  <c r="J160" i="9"/>
  <c r="AE249" i="9" s="1"/>
  <c r="AF249" i="9" s="1"/>
  <c r="K215" i="9"/>
  <c r="J239" i="9"/>
  <c r="J256" i="9"/>
  <c r="AE340" i="9" s="1"/>
  <c r="AF340" i="9" s="1"/>
  <c r="J251" i="9"/>
  <c r="K300" i="9"/>
  <c r="AE353" i="9" s="1"/>
  <c r="AF353" i="9" s="1"/>
  <c r="J307" i="9"/>
  <c r="AE365" i="9" s="1"/>
  <c r="AF365" i="9" s="1"/>
  <c r="J309" i="9"/>
  <c r="AE367" i="9" s="1"/>
  <c r="AF367" i="9" s="1"/>
  <c r="J316" i="9"/>
  <c r="AE381" i="9" s="1"/>
  <c r="AF381" i="9" s="1"/>
  <c r="J318" i="9"/>
  <c r="AE383" i="9" s="1"/>
  <c r="AF383" i="9" s="1"/>
  <c r="K583" i="9"/>
  <c r="AE583" i="9" s="1"/>
  <c r="AF583" i="9" s="1"/>
  <c r="K584" i="9"/>
  <c r="K186" i="9"/>
  <c r="K181" i="9"/>
  <c r="K199" i="9"/>
  <c r="K212" i="9"/>
  <c r="J197" i="9"/>
  <c r="K198" i="9"/>
  <c r="J305" i="9"/>
  <c r="AE363" i="9" s="1"/>
  <c r="AF363" i="9" s="1"/>
  <c r="J429" i="9"/>
  <c r="K194" i="9"/>
  <c r="J194" i="9"/>
  <c r="K242" i="9"/>
  <c r="J242" i="9"/>
  <c r="K26" i="9"/>
  <c r="AE26" i="9" s="1"/>
  <c r="AF26" i="9" s="1"/>
  <c r="J27" i="9"/>
  <c r="AE27" i="9" s="1"/>
  <c r="AF27" i="9" s="1"/>
  <c r="J170" i="9"/>
  <c r="K170" i="9"/>
  <c r="K167" i="9"/>
  <c r="J167" i="9"/>
  <c r="K55" i="9"/>
  <c r="J55" i="9"/>
  <c r="J580" i="9"/>
  <c r="K634" i="9"/>
  <c r="J139" i="9"/>
  <c r="AE139" i="9" s="1"/>
  <c r="AF139" i="9" s="1"/>
  <c r="K149" i="9"/>
  <c r="K222" i="9"/>
  <c r="K241" i="9"/>
  <c r="J241" i="9"/>
  <c r="K18" i="9"/>
  <c r="J18" i="9"/>
  <c r="K287" i="9"/>
  <c r="K581" i="9"/>
  <c r="K586" i="9"/>
  <c r="J586" i="9"/>
  <c r="K615" i="9"/>
  <c r="J615" i="9"/>
  <c r="J629" i="9"/>
  <c r="K629" i="9"/>
  <c r="K146" i="9"/>
  <c r="J146" i="9"/>
  <c r="J148" i="9"/>
  <c r="K148" i="9"/>
  <c r="K185" i="9"/>
  <c r="AE276" i="9" s="1"/>
  <c r="AF276" i="9" s="1"/>
  <c r="J190" i="9"/>
  <c r="AE277" i="9" s="1"/>
  <c r="AF277" i="9" s="1"/>
  <c r="J205" i="9"/>
  <c r="K205" i="9"/>
  <c r="K219" i="9"/>
  <c r="J219" i="9"/>
  <c r="K255" i="9"/>
  <c r="J255" i="9"/>
  <c r="K334" i="9"/>
  <c r="J334" i="9"/>
  <c r="K17" i="9"/>
  <c r="J17" i="9"/>
  <c r="J49" i="9"/>
  <c r="K49" i="9"/>
  <c r="K582" i="9"/>
  <c r="J582" i="9"/>
  <c r="J601" i="9"/>
  <c r="K601" i="9"/>
  <c r="K136" i="9"/>
  <c r="J136" i="9"/>
  <c r="J140" i="9"/>
  <c r="K140" i="9"/>
  <c r="K171" i="9"/>
  <c r="J171" i="9"/>
  <c r="J25" i="9"/>
  <c r="AE25" i="9" s="1"/>
  <c r="AF25" i="9" s="1"/>
  <c r="J599" i="9"/>
  <c r="J191" i="9"/>
  <c r="K191" i="9"/>
  <c r="J207" i="9"/>
  <c r="AE296" i="9" s="1"/>
  <c r="AF296" i="9" s="1"/>
  <c r="J208" i="9"/>
  <c r="K228" i="9"/>
  <c r="J228" i="9"/>
  <c r="J19" i="9"/>
  <c r="K19" i="9"/>
  <c r="K56" i="9"/>
  <c r="J56" i="9"/>
  <c r="J423" i="9"/>
  <c r="K423" i="9"/>
  <c r="K596" i="9"/>
  <c r="J596" i="9"/>
  <c r="K608" i="9"/>
  <c r="J630" i="9"/>
  <c r="K151" i="9"/>
  <c r="AE151" i="9" s="1"/>
  <c r="AF151" i="9" s="1"/>
  <c r="J147" i="9"/>
  <c r="AE147" i="9" s="1"/>
  <c r="AF147" i="9" s="1"/>
  <c r="AE272" i="9"/>
  <c r="AF272" i="9" s="1"/>
  <c r="J427" i="9"/>
  <c r="K427" i="9"/>
  <c r="K201" i="9"/>
  <c r="J202" i="9"/>
  <c r="K203" i="9"/>
  <c r="J204" i="9"/>
  <c r="K218" i="9"/>
  <c r="J218" i="9"/>
  <c r="K292" i="9"/>
  <c r="J292" i="9"/>
  <c r="K328" i="9"/>
  <c r="J328" i="9"/>
  <c r="AE361" i="9"/>
  <c r="AF361" i="9" s="1"/>
  <c r="AE377" i="9"/>
  <c r="AF377" i="9" s="1"/>
  <c r="AE59" i="9"/>
  <c r="AF59" i="9" s="1"/>
  <c r="AE63" i="9"/>
  <c r="AF63" i="9" s="1"/>
  <c r="AE75" i="9"/>
  <c r="AF75" i="9" s="1"/>
  <c r="AE79" i="9"/>
  <c r="AF79" i="9" s="1"/>
  <c r="AE83" i="9"/>
  <c r="AF83" i="9" s="1"/>
  <c r="AE91" i="9"/>
  <c r="AF91" i="9" s="1"/>
  <c r="AE95" i="9"/>
  <c r="AF95" i="9" s="1"/>
  <c r="AE99" i="9"/>
  <c r="AF99" i="9" s="1"/>
  <c r="AE103" i="9"/>
  <c r="AF103" i="9" s="1"/>
  <c r="AE107" i="9"/>
  <c r="AF107" i="9" s="1"/>
  <c r="AE111" i="9"/>
  <c r="AF111" i="9" s="1"/>
  <c r="AE115" i="9"/>
  <c r="AF115" i="9" s="1"/>
  <c r="AE119" i="9"/>
  <c r="AF119" i="9" s="1"/>
  <c r="K616" i="9"/>
  <c r="K137" i="9"/>
  <c r="K153" i="9"/>
  <c r="K168" i="9"/>
  <c r="AE258" i="9" s="1"/>
  <c r="AF258" i="9" s="1"/>
  <c r="K180" i="9"/>
  <c r="J183" i="9"/>
  <c r="K214" i="9"/>
  <c r="K196" i="9"/>
  <c r="K209" i="9"/>
  <c r="J221" i="9"/>
  <c r="J229" i="9"/>
  <c r="J299" i="9"/>
  <c r="AE352" i="9" s="1"/>
  <c r="AF352" i="9" s="1"/>
  <c r="K598" i="9"/>
  <c r="J598" i="9"/>
  <c r="K610" i="9"/>
  <c r="J610" i="9"/>
  <c r="K627" i="9"/>
  <c r="J627" i="9"/>
  <c r="J13" i="9"/>
  <c r="AE13" i="9" s="1"/>
  <c r="AF13" i="9" s="1"/>
  <c r="K14" i="9"/>
  <c r="AE14" i="9" s="1"/>
  <c r="AF14" i="9" s="1"/>
  <c r="J15" i="9"/>
  <c r="AE15" i="9" s="1"/>
  <c r="AF15" i="9" s="1"/>
  <c r="J29" i="9"/>
  <c r="AE29" i="9" s="1"/>
  <c r="AF29" i="9" s="1"/>
  <c r="K30" i="9"/>
  <c r="AE30" i="9" s="1"/>
  <c r="AF30" i="9" s="1"/>
  <c r="J31" i="9"/>
  <c r="AE31" i="9" s="1"/>
  <c r="AF31" i="9" s="1"/>
  <c r="J46" i="9"/>
  <c r="K47" i="9"/>
  <c r="J54" i="9"/>
  <c r="J53" i="9"/>
  <c r="J62" i="9"/>
  <c r="AE61" i="9" s="1"/>
  <c r="AF61" i="9" s="1"/>
  <c r="J67" i="9"/>
  <c r="AE65" i="9" s="1"/>
  <c r="AF65" i="9" s="1"/>
  <c r="J71" i="9"/>
  <c r="AE69" i="9" s="1"/>
  <c r="AF69" i="9" s="1"/>
  <c r="J76" i="9"/>
  <c r="AE73" i="9" s="1"/>
  <c r="AF73" i="9" s="1"/>
  <c r="J80" i="9"/>
  <c r="AE77" i="9" s="1"/>
  <c r="AF77" i="9" s="1"/>
  <c r="J82" i="9"/>
  <c r="AE81" i="9" s="1"/>
  <c r="AF81" i="9" s="1"/>
  <c r="J85" i="9"/>
  <c r="AE85" i="9" s="1"/>
  <c r="AF85" i="9" s="1"/>
  <c r="J96" i="9"/>
  <c r="AE89" i="9" s="1"/>
  <c r="AF89" i="9" s="1"/>
  <c r="J98" i="9"/>
  <c r="AE93" i="9" s="1"/>
  <c r="AF93" i="9" s="1"/>
  <c r="J87" i="9"/>
  <c r="AE97" i="9" s="1"/>
  <c r="AF97" i="9" s="1"/>
  <c r="J88" i="9"/>
  <c r="AE101" i="9" s="1"/>
  <c r="AF101" i="9" s="1"/>
  <c r="J92" i="9"/>
  <c r="AE105" i="9" s="1"/>
  <c r="AF105" i="9" s="1"/>
  <c r="J110" i="9"/>
  <c r="AE109" i="9" s="1"/>
  <c r="AF109" i="9" s="1"/>
  <c r="J114" i="9"/>
  <c r="AE113" i="9" s="1"/>
  <c r="AF113" i="9" s="1"/>
  <c r="J118" i="9"/>
  <c r="AE117" i="9" s="1"/>
  <c r="AF117" i="9" s="1"/>
  <c r="J122" i="9"/>
  <c r="AE121" i="9" s="1"/>
  <c r="AF121" i="9" s="1"/>
  <c r="J129" i="9"/>
  <c r="AE128" i="9" s="1"/>
  <c r="AF128" i="9" s="1"/>
  <c r="J173" i="9"/>
  <c r="J178" i="9"/>
  <c r="J270" i="9"/>
  <c r="J278" i="9"/>
  <c r="J271" i="9"/>
  <c r="AE271" i="9" s="1"/>
  <c r="AF271" i="9" s="1"/>
  <c r="J282" i="9"/>
  <c r="AE152" i="9" s="1"/>
  <c r="AF152" i="9" s="1"/>
  <c r="J284" i="9"/>
  <c r="J286" i="9"/>
  <c r="K261" i="9"/>
  <c r="K262" i="9"/>
  <c r="J262" i="9"/>
  <c r="J268" i="9"/>
  <c r="K288" i="9"/>
  <c r="K344" i="9"/>
  <c r="J344" i="9"/>
  <c r="K590" i="9"/>
  <c r="J590" i="9"/>
  <c r="K597" i="9"/>
  <c r="J597" i="9"/>
  <c r="K628" i="9"/>
  <c r="J628" i="9"/>
  <c r="AE130" i="9"/>
  <c r="AF130" i="9" s="1"/>
  <c r="K579" i="9"/>
  <c r="J579" i="9"/>
  <c r="K585" i="9"/>
  <c r="J585" i="9"/>
  <c r="K600" i="9"/>
  <c r="J600" i="9"/>
  <c r="K605" i="9"/>
  <c r="J605" i="9"/>
  <c r="K606" i="9"/>
  <c r="J606" i="9"/>
  <c r="K613" i="9"/>
  <c r="J613" i="9"/>
  <c r="K614" i="9"/>
  <c r="J614" i="9"/>
  <c r="K631" i="9"/>
  <c r="J631" i="9"/>
  <c r="K295" i="9"/>
  <c r="J295" i="9"/>
  <c r="J304" i="9"/>
  <c r="K304" i="9"/>
  <c r="K577" i="9"/>
  <c r="J577" i="9"/>
  <c r="K609" i="9"/>
  <c r="J609" i="9"/>
  <c r="J21" i="9"/>
  <c r="AE21" i="9" s="1"/>
  <c r="AF21" i="9" s="1"/>
  <c r="K22" i="9"/>
  <c r="AE22" i="9" s="1"/>
  <c r="AF22" i="9" s="1"/>
  <c r="J23" i="9"/>
  <c r="AE23" i="9" s="1"/>
  <c r="AF23" i="9" s="1"/>
  <c r="J38" i="9"/>
  <c r="K39" i="9"/>
  <c r="J40" i="9"/>
  <c r="J57" i="9"/>
  <c r="K51" i="9"/>
  <c r="K124" i="9"/>
  <c r="AE123" i="9" s="1"/>
  <c r="AF123" i="9" s="1"/>
  <c r="K274" i="9"/>
  <c r="J274" i="9"/>
  <c r="K266" i="9"/>
  <c r="K267" i="9"/>
  <c r="J267" i="9"/>
  <c r="K578" i="9"/>
  <c r="K426" i="9"/>
  <c r="J426" i="9"/>
  <c r="K195" i="9"/>
  <c r="J195" i="9"/>
  <c r="K238" i="9"/>
  <c r="J238" i="9"/>
  <c r="J233" i="9"/>
  <c r="K233" i="9"/>
  <c r="J341" i="9"/>
  <c r="K341" i="9"/>
  <c r="AE221" i="9"/>
  <c r="AF221" i="9" s="1"/>
  <c r="J308" i="9"/>
  <c r="K308" i="9"/>
  <c r="J317" i="9"/>
  <c r="K317" i="9"/>
  <c r="K635" i="9"/>
  <c r="J635" i="9"/>
  <c r="K134" i="9"/>
  <c r="J134" i="9"/>
  <c r="K132" i="9"/>
  <c r="J132" i="9"/>
  <c r="K150" i="9"/>
  <c r="J150" i="9"/>
  <c r="K143" i="9"/>
  <c r="J143" i="9"/>
  <c r="K156" i="9"/>
  <c r="J156" i="9"/>
  <c r="K157" i="9"/>
  <c r="J157" i="9"/>
  <c r="K154" i="9"/>
  <c r="J154" i="9"/>
  <c r="K162" i="9"/>
  <c r="J162" i="9"/>
  <c r="AE254" i="9"/>
  <c r="AF254" i="9" s="1"/>
  <c r="K161" i="9"/>
  <c r="J161" i="9"/>
  <c r="J236" i="9"/>
  <c r="K236" i="9"/>
  <c r="K246" i="9"/>
  <c r="J246" i="9"/>
  <c r="J293" i="9"/>
  <c r="K293" i="9"/>
  <c r="J312" i="9"/>
  <c r="K312" i="9"/>
  <c r="J319" i="9"/>
  <c r="K319" i="9"/>
  <c r="J632" i="9"/>
  <c r="J636" i="9"/>
  <c r="J135" i="9"/>
  <c r="J138" i="9"/>
  <c r="J141" i="9"/>
  <c r="J144" i="9"/>
  <c r="J145" i="9"/>
  <c r="J158" i="9"/>
  <c r="J159" i="9"/>
  <c r="J163" i="9"/>
  <c r="J166" i="9"/>
  <c r="J169" i="9"/>
  <c r="AE259" i="9" s="1"/>
  <c r="AF259" i="9" s="1"/>
  <c r="J182" i="9"/>
  <c r="J333" i="9"/>
  <c r="K333" i="9"/>
  <c r="J331" i="9"/>
  <c r="K331" i="9"/>
  <c r="AE269" i="9"/>
  <c r="AF269" i="9" s="1"/>
  <c r="AE273" i="9"/>
  <c r="AF273" i="9" s="1"/>
  <c r="AE289" i="9"/>
  <c r="AF289" i="9" s="1"/>
  <c r="J224" i="9"/>
  <c r="K224" i="9"/>
  <c r="J243" i="9"/>
  <c r="K243" i="9"/>
  <c r="J257" i="9"/>
  <c r="K257" i="9"/>
  <c r="J335" i="9"/>
  <c r="K335" i="9"/>
  <c r="K206" i="9"/>
  <c r="J206" i="9"/>
  <c r="K210" i="9"/>
  <c r="J210" i="9"/>
  <c r="K220" i="9"/>
  <c r="J220" i="9"/>
  <c r="K216" i="9"/>
  <c r="J216" i="9"/>
  <c r="J227" i="9"/>
  <c r="J231" i="9"/>
  <c r="K231" i="9"/>
  <c r="J245" i="9"/>
  <c r="J250" i="9"/>
  <c r="K250" i="9"/>
  <c r="J291" i="9"/>
  <c r="J301" i="9"/>
  <c r="K301" i="9"/>
  <c r="J337" i="9"/>
  <c r="AE360" i="9" s="1"/>
  <c r="AF360" i="9" s="1"/>
  <c r="J306" i="9"/>
  <c r="AE364" i="9" s="1"/>
  <c r="AF364" i="9" s="1"/>
  <c r="J310" i="9"/>
  <c r="AE368" i="9" s="1"/>
  <c r="AF368" i="9" s="1"/>
  <c r="J314" i="9"/>
  <c r="AE372" i="9" s="1"/>
  <c r="AF372" i="9" s="1"/>
  <c r="J339" i="9"/>
  <c r="AE376" i="9" s="1"/>
  <c r="AF376" i="9" s="1"/>
  <c r="J315" i="9"/>
  <c r="AE380" i="9" s="1"/>
  <c r="AF380" i="9" s="1"/>
  <c r="J330" i="9"/>
  <c r="AE384" i="9" s="1"/>
  <c r="AF384" i="9" s="1"/>
  <c r="J321" i="9"/>
  <c r="AE388" i="9" s="1"/>
  <c r="AF388" i="9" s="1"/>
  <c r="J684" i="9"/>
  <c r="AE684" i="9" s="1"/>
  <c r="AF684" i="9" s="1"/>
  <c r="J240" i="9"/>
  <c r="K240" i="9"/>
  <c r="J247" i="9"/>
  <c r="K247" i="9"/>
  <c r="AE349" i="9"/>
  <c r="AF349" i="9" s="1"/>
  <c r="J297" i="9"/>
  <c r="K297" i="9"/>
  <c r="J226" i="9"/>
  <c r="J237" i="9"/>
  <c r="AE315" i="9" s="1"/>
  <c r="AF315" i="9" s="1"/>
  <c r="J253" i="9"/>
  <c r="AE253" i="9" s="1"/>
  <c r="AF253" i="9" s="1"/>
  <c r="J232" i="9"/>
  <c r="AE323" i="9" s="1"/>
  <c r="AF323" i="9" s="1"/>
  <c r="J244" i="9"/>
  <c r="J234" i="9"/>
  <c r="J248" i="9"/>
  <c r="J252" i="9"/>
  <c r="J290" i="9"/>
  <c r="J294" i="9"/>
  <c r="AE347" i="9" s="1"/>
  <c r="AF347" i="9" s="1"/>
  <c r="J298" i="9"/>
  <c r="AE351" i="9" s="1"/>
  <c r="AF351" i="9" s="1"/>
  <c r="J302" i="9"/>
  <c r="AE355" i="9" s="1"/>
  <c r="AF355" i="9" s="1"/>
  <c r="J336" i="9"/>
  <c r="AE359" i="9" s="1"/>
  <c r="AF359" i="9" s="1"/>
  <c r="AE35" i="9"/>
  <c r="AF35" i="9" s="1"/>
  <c r="AE34" i="9"/>
  <c r="AF34" i="9" s="1"/>
  <c r="AE33" i="9"/>
  <c r="AF33" i="9" s="1"/>
  <c r="D42" i="12"/>
  <c r="J12" i="9"/>
  <c r="AE12" i="9" s="1"/>
  <c r="AF12" i="9" s="1"/>
  <c r="J16" i="9"/>
  <c r="AE16" i="9" s="1"/>
  <c r="AF16" i="9" s="1"/>
  <c r="J20" i="9"/>
  <c r="AE20" i="9" s="1"/>
  <c r="AF20" i="9" s="1"/>
  <c r="J24" i="9"/>
  <c r="AE24" i="9" s="1"/>
  <c r="AF24" i="9" s="1"/>
  <c r="J28" i="9"/>
  <c r="AE28" i="9" s="1"/>
  <c r="AF28" i="9" s="1"/>
  <c r="J32" i="9"/>
  <c r="AE32" i="9" s="1"/>
  <c r="AF32" i="9" s="1"/>
  <c r="J37" i="9"/>
  <c r="AE36" i="9" s="1"/>
  <c r="AF36" i="9" s="1"/>
  <c r="J41" i="9"/>
  <c r="J45" i="9"/>
  <c r="J48" i="9"/>
  <c r="AE48" i="9" s="1"/>
  <c r="AF48" i="9" s="1"/>
  <c r="J50" i="9"/>
  <c r="AE52" i="9" s="1"/>
  <c r="AF52" i="9" s="1"/>
  <c r="N5" i="11"/>
  <c r="I8" i="10"/>
  <c r="D17" i="4" s="1"/>
  <c r="V5" i="11"/>
  <c r="P38" i="12"/>
  <c r="P40" i="12" s="1"/>
  <c r="N30" i="7"/>
  <c r="R5" i="11"/>
  <c r="N41" i="12"/>
  <c r="K64" i="10"/>
  <c r="K41" i="10"/>
  <c r="T38" i="12"/>
  <c r="R41" i="12"/>
  <c r="D41" i="12"/>
  <c r="D43" i="12" s="1"/>
  <c r="V41" i="12"/>
  <c r="L38" i="12"/>
  <c r="H6" i="10"/>
  <c r="I7" i="10"/>
  <c r="D16" i="4" s="1"/>
  <c r="J8" i="10"/>
  <c r="E17" i="4" s="1"/>
  <c r="J49" i="10"/>
  <c r="J50" i="10" s="1"/>
  <c r="E44" i="4" s="1"/>
  <c r="I49" i="10"/>
  <c r="H49" i="10"/>
  <c r="H50" i="10" s="1"/>
  <c r="W5" i="11"/>
  <c r="I6" i="10"/>
  <c r="D15" i="4" s="1"/>
  <c r="J7" i="10"/>
  <c r="E16" i="4" s="1"/>
  <c r="M38" i="12"/>
  <c r="Q38" i="12"/>
  <c r="Q40" i="12" s="1"/>
  <c r="U38" i="12"/>
  <c r="U40" i="12" s="1"/>
  <c r="O41" i="12"/>
  <c r="O43" i="12" s="1"/>
  <c r="S41" i="12"/>
  <c r="S43" i="12" s="1"/>
  <c r="W41" i="12"/>
  <c r="J8" i="9"/>
  <c r="P5" i="11"/>
  <c r="T5" i="11"/>
  <c r="X5" i="11"/>
  <c r="I5" i="10"/>
  <c r="D14" i="4" s="1"/>
  <c r="J6" i="10"/>
  <c r="E15" i="4" s="1"/>
  <c r="H8" i="10"/>
  <c r="K65" i="10"/>
  <c r="K66" i="10"/>
  <c r="D38" i="12"/>
  <c r="N38" i="12"/>
  <c r="N40" i="12" s="1"/>
  <c r="R38" i="12"/>
  <c r="R40" i="12" s="1"/>
  <c r="V38" i="12"/>
  <c r="L41" i="12"/>
  <c r="L43" i="12" s="1"/>
  <c r="P41" i="12"/>
  <c r="P43" i="12" s="1"/>
  <c r="T41" i="12"/>
  <c r="O5" i="11"/>
  <c r="S5" i="11"/>
  <c r="H5" i="10"/>
  <c r="K8" i="9"/>
  <c r="E5" i="11"/>
  <c r="C95" i="4" s="1"/>
  <c r="M5" i="11"/>
  <c r="Q5" i="11"/>
  <c r="U5" i="11"/>
  <c r="E7" i="11"/>
  <c r="J5" i="10"/>
  <c r="E14" i="4" s="1"/>
  <c r="H7" i="10"/>
  <c r="O38" i="12"/>
  <c r="O40" i="12" s="1"/>
  <c r="S38" i="12"/>
  <c r="S40" i="12" s="1"/>
  <c r="W38" i="12"/>
  <c r="W40" i="12" s="1"/>
  <c r="M41" i="12"/>
  <c r="M43" i="12" s="1"/>
  <c r="Q41" i="12"/>
  <c r="U41" i="12"/>
  <c r="U43" i="12" s="1"/>
  <c r="N12" i="7"/>
  <c r="N16" i="7"/>
  <c r="N20" i="7"/>
  <c r="N24" i="7"/>
  <c r="K37" i="10"/>
  <c r="K44" i="10"/>
  <c r="K29" i="10"/>
  <c r="K43" i="10"/>
  <c r="K45" i="10"/>
  <c r="K48" i="10"/>
  <c r="K74" i="10"/>
  <c r="K82" i="10"/>
  <c r="K33" i="10"/>
  <c r="C23" i="4"/>
  <c r="K69" i="10"/>
  <c r="K79" i="10"/>
  <c r="F67" i="4"/>
  <c r="F79" i="4"/>
  <c r="C24" i="4"/>
  <c r="I34" i="10"/>
  <c r="D36" i="4" s="1"/>
  <c r="I67" i="10"/>
  <c r="D64" i="4" s="1"/>
  <c r="K68" i="10"/>
  <c r="K83" i="10"/>
  <c r="I42" i="10"/>
  <c r="D40" i="4" s="1"/>
  <c r="I63" i="10"/>
  <c r="D62" i="4" s="1"/>
  <c r="K18" i="10"/>
  <c r="K78" i="10"/>
  <c r="I46" i="10"/>
  <c r="D42" i="4" s="1"/>
  <c r="E72" i="4"/>
  <c r="Z7" i="9"/>
  <c r="Z703" i="9" s="1"/>
  <c r="L7" i="9"/>
  <c r="R7" i="9"/>
  <c r="R703" i="9" s="1"/>
  <c r="T7" i="9"/>
  <c r="T703" i="9" s="1"/>
  <c r="N7" i="9"/>
  <c r="V7" i="9"/>
  <c r="V703" i="9" s="1"/>
  <c r="N13" i="7"/>
  <c r="N17" i="7"/>
  <c r="N21" i="7"/>
  <c r="AB7" i="9"/>
  <c r="AB703" i="9" s="1"/>
  <c r="P7" i="9"/>
  <c r="X7" i="9"/>
  <c r="X703" i="9" s="1"/>
  <c r="M7" i="9"/>
  <c r="Q7" i="9"/>
  <c r="Q703" i="9" s="1"/>
  <c r="U7" i="9"/>
  <c r="U703" i="9" s="1"/>
  <c r="Y7" i="9"/>
  <c r="Y703" i="9" s="1"/>
  <c r="N9" i="7"/>
  <c r="O7" i="9"/>
  <c r="S7" i="9"/>
  <c r="S703" i="9" s="1"/>
  <c r="W7" i="9"/>
  <c r="W703" i="9" s="1"/>
  <c r="AA7" i="9"/>
  <c r="AA703" i="9" s="1"/>
  <c r="C22" i="4"/>
  <c r="J46" i="10"/>
  <c r="E25" i="4"/>
  <c r="J19" i="10"/>
  <c r="K19" i="10" s="1"/>
  <c r="E27" i="4"/>
  <c r="E33" i="4"/>
  <c r="J30" i="10"/>
  <c r="E34" i="4" s="1"/>
  <c r="E35" i="4"/>
  <c r="J34" i="10"/>
  <c r="E37" i="4"/>
  <c r="J38" i="10"/>
  <c r="K38" i="10" s="1"/>
  <c r="E39" i="4"/>
  <c r="K47" i="10"/>
  <c r="D63" i="4"/>
  <c r="J81" i="10"/>
  <c r="E75" i="4" s="1"/>
  <c r="K13" i="10"/>
  <c r="K14" i="10"/>
  <c r="K15" i="10"/>
  <c r="K16" i="10"/>
  <c r="I17" i="10"/>
  <c r="K17" i="10" s="1"/>
  <c r="D26" i="4"/>
  <c r="K20" i="10"/>
  <c r="I21" i="10"/>
  <c r="K21" i="10" s="1"/>
  <c r="K27" i="10"/>
  <c r="I28" i="10"/>
  <c r="K28" i="10" s="1"/>
  <c r="D34" i="4"/>
  <c r="K31" i="10"/>
  <c r="I32" i="10"/>
  <c r="K32" i="10" s="1"/>
  <c r="K35" i="10"/>
  <c r="I36" i="10"/>
  <c r="K36" i="10" s="1"/>
  <c r="D38" i="4"/>
  <c r="K39" i="10"/>
  <c r="I40" i="10"/>
  <c r="K40" i="10" s="1"/>
  <c r="D41" i="4"/>
  <c r="D65" i="4"/>
  <c r="H75" i="10"/>
  <c r="I77" i="10"/>
  <c r="D73" i="4" s="1"/>
  <c r="K76" i="10"/>
  <c r="J42" i="10"/>
  <c r="D43" i="4"/>
  <c r="J67" i="10"/>
  <c r="K75" i="10"/>
  <c r="J77" i="10"/>
  <c r="E73" i="4" s="1"/>
  <c r="I81" i="10"/>
  <c r="K80" i="10"/>
  <c r="B10" i="5"/>
  <c r="B10" i="6"/>
  <c r="B14" i="6"/>
  <c r="B14" i="5"/>
  <c r="B18" i="6"/>
  <c r="B18" i="5"/>
  <c r="B22" i="6"/>
  <c r="B22" i="5"/>
  <c r="D14" i="12"/>
  <c r="N14" i="12"/>
  <c r="R14" i="12"/>
  <c r="V14" i="12"/>
  <c r="J17" i="12"/>
  <c r="N17" i="12"/>
  <c r="R17" i="12"/>
  <c r="V17" i="12"/>
  <c r="N20" i="12"/>
  <c r="R20" i="12"/>
  <c r="V20" i="12"/>
  <c r="J23" i="12"/>
  <c r="N23" i="12"/>
  <c r="R23" i="12"/>
  <c r="V23" i="12"/>
  <c r="N26" i="12"/>
  <c r="R26" i="12"/>
  <c r="V26" i="12"/>
  <c r="N29" i="12"/>
  <c r="R29" i="12"/>
  <c r="V29" i="12"/>
  <c r="O32" i="12"/>
  <c r="T32" i="12"/>
  <c r="B11" i="6"/>
  <c r="B11" i="5"/>
  <c r="B15" i="6"/>
  <c r="B15" i="5"/>
  <c r="B19" i="6"/>
  <c r="B19" i="5"/>
  <c r="B23" i="6"/>
  <c r="B23" i="5"/>
  <c r="O14" i="12"/>
  <c r="S14" i="12"/>
  <c r="W14" i="12"/>
  <c r="G17" i="12"/>
  <c r="K17" i="12"/>
  <c r="O17" i="12"/>
  <c r="S17" i="12"/>
  <c r="W17" i="12"/>
  <c r="O20" i="12"/>
  <c r="S20" i="12"/>
  <c r="W20" i="12"/>
  <c r="G23" i="12"/>
  <c r="K23" i="12"/>
  <c r="O23" i="12"/>
  <c r="S23" i="12"/>
  <c r="W23" i="12"/>
  <c r="O26" i="12"/>
  <c r="S26" i="12"/>
  <c r="W26" i="12"/>
  <c r="O29" i="12"/>
  <c r="S29" i="12"/>
  <c r="W29" i="12"/>
  <c r="P32" i="12"/>
  <c r="V32" i="12"/>
  <c r="E41" i="4"/>
  <c r="E43" i="4"/>
  <c r="E63" i="4"/>
  <c r="E65" i="4"/>
  <c r="D72" i="4"/>
  <c r="D74" i="4"/>
  <c r="D76" i="4"/>
  <c r="K84" i="10"/>
  <c r="I85" i="10"/>
  <c r="D77" i="4" s="1"/>
  <c r="H92" i="10"/>
  <c r="B8" i="6"/>
  <c r="B8" i="5"/>
  <c r="B12" i="5"/>
  <c r="B12" i="6"/>
  <c r="B16" i="6"/>
  <c r="B16" i="5"/>
  <c r="B20" i="5"/>
  <c r="B20" i="6"/>
  <c r="B24" i="6"/>
  <c r="B24" i="5"/>
  <c r="Y12" i="12"/>
  <c r="L14" i="12"/>
  <c r="P14" i="12"/>
  <c r="T14" i="12"/>
  <c r="Y15" i="12"/>
  <c r="Z15" i="12" s="1"/>
  <c r="H17" i="12"/>
  <c r="L17" i="12"/>
  <c r="P17" i="12"/>
  <c r="T17" i="12"/>
  <c r="L20" i="12"/>
  <c r="P20" i="12"/>
  <c r="T20" i="12"/>
  <c r="Y21" i="12"/>
  <c r="Z21" i="12" s="1"/>
  <c r="H23" i="12"/>
  <c r="L23" i="12"/>
  <c r="P23" i="12"/>
  <c r="T23" i="12"/>
  <c r="L26" i="12"/>
  <c r="P26" i="12"/>
  <c r="T26" i="12"/>
  <c r="L29" i="12"/>
  <c r="P29" i="12"/>
  <c r="T29" i="12"/>
  <c r="R32" i="12"/>
  <c r="W32" i="12"/>
  <c r="E74" i="4"/>
  <c r="E76" i="4"/>
  <c r="J85" i="10"/>
  <c r="E77" i="4" s="1"/>
  <c r="K91" i="10"/>
  <c r="I92" i="10"/>
  <c r="K92" i="10" s="1"/>
  <c r="B9" i="5"/>
  <c r="B9" i="6"/>
  <c r="B13" i="6"/>
  <c r="B13" i="5"/>
  <c r="B17" i="6"/>
  <c r="B17" i="5"/>
  <c r="B21" i="6"/>
  <c r="B21" i="5"/>
  <c r="M14" i="12"/>
  <c r="Q14" i="12"/>
  <c r="U14" i="12"/>
  <c r="I17" i="12"/>
  <c r="M17" i="12"/>
  <c r="Q17" i="12"/>
  <c r="U17" i="12"/>
  <c r="M20" i="12"/>
  <c r="Q20" i="12"/>
  <c r="U20" i="12"/>
  <c r="M23" i="12"/>
  <c r="Q23" i="12"/>
  <c r="U23" i="12"/>
  <c r="M26" i="12"/>
  <c r="Q26" i="12"/>
  <c r="U26" i="12"/>
  <c r="M29" i="12"/>
  <c r="Q29" i="12"/>
  <c r="U29" i="12"/>
  <c r="Q32" i="12"/>
  <c r="U32" i="12"/>
  <c r="K25" i="7"/>
  <c r="K32" i="7" s="1"/>
  <c r="N8" i="7"/>
  <c r="L25" i="7"/>
  <c r="L32" i="7" s="1"/>
  <c r="N11" i="7"/>
  <c r="N15" i="7"/>
  <c r="N19" i="7"/>
  <c r="N23" i="7"/>
  <c r="M25" i="7"/>
  <c r="M32" i="7" s="1"/>
  <c r="N10" i="7"/>
  <c r="N14" i="7"/>
  <c r="N18" i="7"/>
  <c r="N22" i="7"/>
  <c r="AE311" i="9" l="1"/>
  <c r="AF311" i="9" s="1"/>
  <c r="AE160" i="9"/>
  <c r="AF160" i="9" s="1"/>
  <c r="AE53" i="9"/>
  <c r="AF53" i="9" s="1"/>
  <c r="AE205" i="9"/>
  <c r="AF205" i="9" s="1"/>
  <c r="AE122" i="9"/>
  <c r="AF122" i="9" s="1"/>
  <c r="AE344" i="9"/>
  <c r="AF344" i="9" s="1"/>
  <c r="P672" i="9"/>
  <c r="P671" i="9"/>
  <c r="P669" i="9"/>
  <c r="P667" i="9"/>
  <c r="P548" i="9"/>
  <c r="P546" i="9"/>
  <c r="P666" i="9"/>
  <c r="K41" i="12" s="1"/>
  <c r="P668" i="9"/>
  <c r="P556" i="9"/>
  <c r="P552" i="9"/>
  <c r="P373" i="9"/>
  <c r="P547" i="9"/>
  <c r="AE321" i="9"/>
  <c r="AF321" i="9" s="1"/>
  <c r="AE631" i="9"/>
  <c r="AF631" i="9" s="1"/>
  <c r="AE56" i="9"/>
  <c r="AF56" i="9" s="1"/>
  <c r="O373" i="9"/>
  <c r="O669" i="9"/>
  <c r="O668" i="9"/>
  <c r="O667" i="9"/>
  <c r="O548" i="9"/>
  <c r="O547" i="9"/>
  <c r="O546" i="9"/>
  <c r="O556" i="9"/>
  <c r="O672" i="9"/>
  <c r="O671" i="9"/>
  <c r="O666" i="9"/>
  <c r="O552" i="9"/>
  <c r="L671" i="9"/>
  <c r="L547" i="9"/>
  <c r="L373" i="9"/>
  <c r="L667" i="9"/>
  <c r="L669" i="9"/>
  <c r="L666" i="9"/>
  <c r="L546" i="9"/>
  <c r="L668" i="9"/>
  <c r="L556" i="9"/>
  <c r="L552" i="9"/>
  <c r="L672" i="9"/>
  <c r="L548" i="9"/>
  <c r="AE265" i="9"/>
  <c r="AF265" i="9" s="1"/>
  <c r="AE174" i="9"/>
  <c r="AF174" i="9" s="1"/>
  <c r="AE47" i="9"/>
  <c r="AF47" i="9" s="1"/>
  <c r="AE320" i="9"/>
  <c r="AF320" i="9" s="1"/>
  <c r="AE280" i="9"/>
  <c r="AF280" i="9" s="1"/>
  <c r="AE55" i="9"/>
  <c r="AF55" i="9" s="1"/>
  <c r="AE125" i="9"/>
  <c r="AF125" i="9" s="1"/>
  <c r="M666" i="9"/>
  <c r="M671" i="9"/>
  <c r="M556" i="9"/>
  <c r="M552" i="9"/>
  <c r="M672" i="9"/>
  <c r="M373" i="9"/>
  <c r="M669" i="9"/>
  <c r="M668" i="9"/>
  <c r="M667" i="9"/>
  <c r="M548" i="9"/>
  <c r="M547" i="9"/>
  <c r="M546" i="9"/>
  <c r="N556" i="9"/>
  <c r="N552" i="9"/>
  <c r="N373" i="9"/>
  <c r="N669" i="9"/>
  <c r="N668" i="9"/>
  <c r="N667" i="9"/>
  <c r="N548" i="9"/>
  <c r="N547" i="9"/>
  <c r="N546" i="9"/>
  <c r="N666" i="9"/>
  <c r="I41" i="12" s="1"/>
  <c r="N672" i="9"/>
  <c r="N671" i="9"/>
  <c r="AE150" i="9"/>
  <c r="AF150" i="9" s="1"/>
  <c r="AE146" i="9"/>
  <c r="AF146" i="9" s="1"/>
  <c r="AE305" i="9"/>
  <c r="AF305" i="9" s="1"/>
  <c r="AE577" i="9"/>
  <c r="AF577" i="9" s="1"/>
  <c r="AE38" i="9"/>
  <c r="AF38" i="9" s="1"/>
  <c r="AE43" i="9"/>
  <c r="AF43" i="9" s="1"/>
  <c r="M544" i="9"/>
  <c r="M545" i="9"/>
  <c r="L545" i="9"/>
  <c r="L544" i="9"/>
  <c r="O545" i="9"/>
  <c r="O544" i="9"/>
  <c r="AE76" i="9"/>
  <c r="AF76" i="9" s="1"/>
  <c r="P545" i="9"/>
  <c r="P544" i="9"/>
  <c r="N544" i="9"/>
  <c r="N545" i="9"/>
  <c r="AE44" i="9"/>
  <c r="AF44" i="9" s="1"/>
  <c r="AE275" i="9"/>
  <c r="AF275" i="9" s="1"/>
  <c r="AE614" i="9"/>
  <c r="AF614" i="9" s="1"/>
  <c r="AE605" i="9"/>
  <c r="AF605" i="9" s="1"/>
  <c r="AE579" i="9"/>
  <c r="AF579" i="9" s="1"/>
  <c r="AE597" i="9"/>
  <c r="AF597" i="9" s="1"/>
  <c r="AE610" i="9"/>
  <c r="AF610" i="9" s="1"/>
  <c r="AE268" i="9"/>
  <c r="AF268" i="9" s="1"/>
  <c r="AE339" i="9"/>
  <c r="AF339" i="9" s="1"/>
  <c r="AE39" i="9"/>
  <c r="AF39" i="9" s="1"/>
  <c r="AE609" i="9"/>
  <c r="AF609" i="9" s="1"/>
  <c r="AE613" i="9"/>
  <c r="AF613" i="9" s="1"/>
  <c r="AE292" i="9"/>
  <c r="AF292" i="9" s="1"/>
  <c r="AE177" i="9"/>
  <c r="AF177" i="9" s="1"/>
  <c r="AE306" i="9"/>
  <c r="AF306" i="9" s="1"/>
  <c r="AE264" i="9"/>
  <c r="AF264" i="9" s="1"/>
  <c r="AE145" i="9"/>
  <c r="AF145" i="9" s="1"/>
  <c r="AE282" i="9"/>
  <c r="AF282" i="9" s="1"/>
  <c r="C14" i="4"/>
  <c r="AE206" i="9"/>
  <c r="AF206" i="9" s="1"/>
  <c r="AE635" i="9"/>
  <c r="AF635" i="9" s="1"/>
  <c r="AE92" i="9"/>
  <c r="AF92" i="9" s="1"/>
  <c r="P526" i="9"/>
  <c r="P512" i="9"/>
  <c r="P343" i="9"/>
  <c r="P518" i="9"/>
  <c r="P459" i="9"/>
  <c r="P455" i="9"/>
  <c r="P454" i="9"/>
  <c r="P422" i="9"/>
  <c r="P411" i="9"/>
  <c r="P409" i="9"/>
  <c r="P406" i="9"/>
  <c r="P261" i="9"/>
  <c r="P500" i="9"/>
  <c r="P484" i="9"/>
  <c r="P327" i="9"/>
  <c r="P251" i="9"/>
  <c r="P519" i="9"/>
  <c r="P412" i="9"/>
  <c r="P410" i="9"/>
  <c r="P374" i="9"/>
  <c r="P288" i="9"/>
  <c r="P266" i="9"/>
  <c r="P262" i="9"/>
  <c r="P257" i="9"/>
  <c r="P520" i="9"/>
  <c r="P507" i="9"/>
  <c r="P458" i="9"/>
  <c r="P421" i="9"/>
  <c r="P413" i="9"/>
  <c r="P267" i="9"/>
  <c r="P138" i="9"/>
  <c r="N257" i="9"/>
  <c r="N520" i="9"/>
  <c r="N507" i="9"/>
  <c r="N458" i="9"/>
  <c r="N421" i="9"/>
  <c r="N413" i="9"/>
  <c r="N267" i="9"/>
  <c r="N526" i="9"/>
  <c r="N512" i="9"/>
  <c r="N343" i="9"/>
  <c r="N138" i="9"/>
  <c r="N518" i="9"/>
  <c r="N459" i="9"/>
  <c r="N455" i="9"/>
  <c r="N454" i="9"/>
  <c r="N422" i="9"/>
  <c r="N411" i="9"/>
  <c r="N409" i="9"/>
  <c r="N406" i="9"/>
  <c r="N261" i="9"/>
  <c r="N500" i="9"/>
  <c r="N484" i="9"/>
  <c r="N327" i="9"/>
  <c r="N251" i="9"/>
  <c r="N519" i="9"/>
  <c r="N412" i="9"/>
  <c r="N410" i="9"/>
  <c r="N374" i="9"/>
  <c r="N288" i="9"/>
  <c r="N266" i="9"/>
  <c r="N262" i="9"/>
  <c r="AE144" i="9"/>
  <c r="AF144" i="9" s="1"/>
  <c r="AE45" i="9"/>
  <c r="AF45" i="9" s="1"/>
  <c r="AE232" i="9"/>
  <c r="AF232" i="9" s="1"/>
  <c r="AE67" i="9"/>
  <c r="AF67" i="9" s="1"/>
  <c r="AE302" i="9"/>
  <c r="AF302" i="9" s="1"/>
  <c r="AE136" i="9"/>
  <c r="AF136" i="9" s="1"/>
  <c r="AE96" i="9"/>
  <c r="AF96" i="9" s="1"/>
  <c r="M519" i="9"/>
  <c r="M412" i="9"/>
  <c r="M410" i="9"/>
  <c r="M374" i="9"/>
  <c r="M288" i="9"/>
  <c r="M266" i="9"/>
  <c r="M262" i="9"/>
  <c r="M257" i="9"/>
  <c r="M520" i="9"/>
  <c r="M507" i="9"/>
  <c r="M458" i="9"/>
  <c r="M421" i="9"/>
  <c r="M413" i="9"/>
  <c r="M267" i="9"/>
  <c r="M526" i="9"/>
  <c r="M512" i="9"/>
  <c r="M343" i="9"/>
  <c r="M138" i="9"/>
  <c r="M518" i="9"/>
  <c r="M459" i="9"/>
  <c r="M455" i="9"/>
  <c r="M454" i="9"/>
  <c r="M422" i="9"/>
  <c r="M411" i="9"/>
  <c r="M409" i="9"/>
  <c r="M406" i="9"/>
  <c r="M261" i="9"/>
  <c r="M500" i="9"/>
  <c r="M484" i="9"/>
  <c r="M327" i="9"/>
  <c r="M251" i="9"/>
  <c r="L519" i="9"/>
  <c r="L500" i="9"/>
  <c r="L484" i="9"/>
  <c r="L454" i="9"/>
  <c r="L412" i="9"/>
  <c r="L409" i="9"/>
  <c r="L327" i="9"/>
  <c r="L261" i="9"/>
  <c r="L251" i="9"/>
  <c r="L518" i="9"/>
  <c r="L411" i="9"/>
  <c r="L288" i="9"/>
  <c r="L374" i="9"/>
  <c r="L267" i="9"/>
  <c r="L257" i="9"/>
  <c r="L507" i="9"/>
  <c r="L459" i="9"/>
  <c r="L422" i="9"/>
  <c r="L266" i="9"/>
  <c r="L526" i="9"/>
  <c r="L512" i="9"/>
  <c r="L458" i="9"/>
  <c r="L421" i="9"/>
  <c r="L343" i="9"/>
  <c r="L138" i="9"/>
  <c r="L520" i="9"/>
  <c r="L455" i="9"/>
  <c r="L413" i="9"/>
  <c r="L410" i="9"/>
  <c r="L406" i="9"/>
  <c r="L262" i="9"/>
  <c r="AE312" i="9"/>
  <c r="AF312" i="9" s="1"/>
  <c r="AE248" i="9"/>
  <c r="AF248" i="9" s="1"/>
  <c r="AE87" i="9"/>
  <c r="AF87" i="9" s="1"/>
  <c r="O520" i="9"/>
  <c r="O507" i="9"/>
  <c r="O458" i="9"/>
  <c r="O421" i="9"/>
  <c r="O413" i="9"/>
  <c r="O267" i="9"/>
  <c r="O138" i="9"/>
  <c r="O526" i="9"/>
  <c r="O512" i="9"/>
  <c r="O343" i="9"/>
  <c r="O518" i="9"/>
  <c r="O459" i="9"/>
  <c r="O455" i="9"/>
  <c r="O454" i="9"/>
  <c r="O422" i="9"/>
  <c r="O411" i="9"/>
  <c r="O409" i="9"/>
  <c r="O406" i="9"/>
  <c r="O261" i="9"/>
  <c r="O500" i="9"/>
  <c r="O484" i="9"/>
  <c r="O327" i="9"/>
  <c r="O251" i="9"/>
  <c r="O519" i="9"/>
  <c r="O412" i="9"/>
  <c r="O410" i="9"/>
  <c r="O374" i="9"/>
  <c r="O288" i="9"/>
  <c r="O266" i="9"/>
  <c r="O262" i="9"/>
  <c r="O257" i="9"/>
  <c r="AE244" i="9"/>
  <c r="AF244" i="9" s="1"/>
  <c r="AE202" i="9"/>
  <c r="AF202" i="9" s="1"/>
  <c r="AE601" i="9"/>
  <c r="AF601" i="9" s="1"/>
  <c r="AE286" i="9"/>
  <c r="AF286" i="9" s="1"/>
  <c r="AE41" i="9"/>
  <c r="AF41" i="9" s="1"/>
  <c r="AE88" i="9"/>
  <c r="AF88" i="9" s="1"/>
  <c r="AE426" i="9"/>
  <c r="AF426" i="9" s="1"/>
  <c r="AE210" i="9"/>
  <c r="AF210" i="9" s="1"/>
  <c r="AE186" i="9"/>
  <c r="AF186" i="9" s="1"/>
  <c r="AE328" i="9"/>
  <c r="AF328" i="9" s="1"/>
  <c r="AE222" i="9"/>
  <c r="AF222" i="9" s="1"/>
  <c r="AE308" i="9"/>
  <c r="AF308" i="9" s="1"/>
  <c r="AE236" i="9"/>
  <c r="AF236" i="9" s="1"/>
  <c r="AE238" i="9"/>
  <c r="AF238" i="9" s="1"/>
  <c r="AE242" i="9"/>
  <c r="AF242" i="9" s="1"/>
  <c r="AE154" i="9"/>
  <c r="AF154" i="9" s="1"/>
  <c r="AE143" i="9"/>
  <c r="AF143" i="9" s="1"/>
  <c r="AE157" i="9"/>
  <c r="AF157" i="9" s="1"/>
  <c r="AE149" i="9"/>
  <c r="AF149" i="9" s="1"/>
  <c r="AE134" i="9"/>
  <c r="AF134" i="9" s="1"/>
  <c r="AE132" i="9"/>
  <c r="AF132" i="9" s="1"/>
  <c r="AE220" i="9"/>
  <c r="AF220" i="9" s="1"/>
  <c r="AE636" i="9"/>
  <c r="AF636" i="9" s="1"/>
  <c r="AE218" i="9"/>
  <c r="AF218" i="9" s="1"/>
  <c r="AE201" i="9"/>
  <c r="AF201" i="9" s="1"/>
  <c r="AE607" i="9"/>
  <c r="AF607" i="9" s="1"/>
  <c r="AE189" i="9"/>
  <c r="AF189" i="9" s="1"/>
  <c r="AE592" i="9"/>
  <c r="AF592" i="9" s="1"/>
  <c r="AE98" i="9"/>
  <c r="AF98" i="9" s="1"/>
  <c r="AE608" i="9"/>
  <c r="AF608" i="9" s="1"/>
  <c r="AE335" i="9"/>
  <c r="AF335" i="9" s="1"/>
  <c r="AE240" i="9"/>
  <c r="AF240" i="9" s="1"/>
  <c r="AE216" i="9"/>
  <c r="AF216" i="9" s="1"/>
  <c r="AE632" i="9"/>
  <c r="AF632" i="9" s="1"/>
  <c r="AE54" i="9"/>
  <c r="AF54" i="9" s="1"/>
  <c r="AE606" i="9"/>
  <c r="AF606" i="9" s="1"/>
  <c r="AE585" i="9"/>
  <c r="AF585" i="9" s="1"/>
  <c r="AE628" i="9"/>
  <c r="AF628" i="9" s="1"/>
  <c r="AE162" i="9"/>
  <c r="AF162" i="9" s="1"/>
  <c r="AE140" i="9"/>
  <c r="AF140" i="9" s="1"/>
  <c r="AE627" i="9"/>
  <c r="AF627" i="9" s="1"/>
  <c r="AE263" i="9"/>
  <c r="AF263" i="9" s="1"/>
  <c r="AE71" i="9"/>
  <c r="AF71" i="9" s="1"/>
  <c r="AE427" i="9"/>
  <c r="AF427" i="9" s="1"/>
  <c r="AE596" i="9"/>
  <c r="AF596" i="9" s="1"/>
  <c r="AE582" i="9"/>
  <c r="AF582" i="9" s="1"/>
  <c r="AE586" i="9"/>
  <c r="AF586" i="9" s="1"/>
  <c r="AE176" i="9"/>
  <c r="AF176" i="9" s="1"/>
  <c r="AE580" i="9"/>
  <c r="AF580" i="9" s="1"/>
  <c r="AE317" i="9"/>
  <c r="AF317" i="9" s="1"/>
  <c r="AE190" i="9"/>
  <c r="AF190" i="9" s="1"/>
  <c r="AE153" i="9"/>
  <c r="AF153" i="9" s="1"/>
  <c r="AE129" i="9"/>
  <c r="AF129" i="9" s="1"/>
  <c r="AE188" i="9"/>
  <c r="AF188" i="9" s="1"/>
  <c r="AE591" i="9"/>
  <c r="AF591" i="9" s="1"/>
  <c r="AE82" i="9"/>
  <c r="AF82" i="9" s="1"/>
  <c r="AE118" i="9"/>
  <c r="AF118" i="9" s="1"/>
  <c r="AE169" i="9"/>
  <c r="AF169" i="9" s="1"/>
  <c r="AE581" i="9"/>
  <c r="AF581" i="9" s="1"/>
  <c r="AE331" i="9"/>
  <c r="AF331" i="9" s="1"/>
  <c r="AE293" i="9"/>
  <c r="AF293" i="9" s="1"/>
  <c r="AE379" i="9"/>
  <c r="AF379" i="9" s="1"/>
  <c r="AE429" i="9"/>
  <c r="AF429" i="9" s="1"/>
  <c r="AE185" i="9"/>
  <c r="AF185" i="9" s="1"/>
  <c r="AE588" i="9"/>
  <c r="AF588" i="9" s="1"/>
  <c r="AE309" i="9"/>
  <c r="AF309" i="9" s="1"/>
  <c r="AE634" i="9"/>
  <c r="AF634" i="9" s="1"/>
  <c r="AE256" i="9"/>
  <c r="AF256" i="9" s="1"/>
  <c r="AE166" i="9"/>
  <c r="AF166" i="9" s="1"/>
  <c r="AE170" i="9"/>
  <c r="AF170" i="9" s="1"/>
  <c r="AE156" i="9"/>
  <c r="AF156" i="9" s="1"/>
  <c r="AE57" i="9"/>
  <c r="AF57" i="9" s="1"/>
  <c r="AE304" i="9"/>
  <c r="AF304" i="9" s="1"/>
  <c r="AE245" i="9"/>
  <c r="AF245" i="9" s="1"/>
  <c r="AE197" i="9"/>
  <c r="AF197" i="9" s="1"/>
  <c r="AE599" i="9"/>
  <c r="AF599" i="9" s="1"/>
  <c r="AE124" i="9"/>
  <c r="AF124" i="9" s="1"/>
  <c r="AE173" i="9"/>
  <c r="AF173" i="9" s="1"/>
  <c r="AE110" i="9"/>
  <c r="AF110" i="9" s="1"/>
  <c r="AE62" i="9"/>
  <c r="AF62" i="9" s="1"/>
  <c r="AE616" i="9"/>
  <c r="AF616" i="9" s="1"/>
  <c r="AE252" i="9"/>
  <c r="AF252" i="9" s="1"/>
  <c r="AE228" i="9"/>
  <c r="AF228" i="9" s="1"/>
  <c r="AE168" i="9"/>
  <c r="AF168" i="9" s="1"/>
  <c r="AE298" i="9"/>
  <c r="AF298" i="9" s="1"/>
  <c r="AE291" i="9"/>
  <c r="AF291" i="9" s="1"/>
  <c r="AE234" i="9"/>
  <c r="AF234" i="9" s="1"/>
  <c r="AE423" i="9"/>
  <c r="AF423" i="9" s="1"/>
  <c r="AE629" i="9"/>
  <c r="AF629" i="9" s="1"/>
  <c r="AE161" i="9"/>
  <c r="AF161" i="9" s="1"/>
  <c r="AE250" i="9"/>
  <c r="AF250" i="9" s="1"/>
  <c r="AE182" i="9"/>
  <c r="AF182" i="9" s="1"/>
  <c r="AE233" i="9"/>
  <c r="AF233" i="9" s="1"/>
  <c r="AE141" i="9"/>
  <c r="AF141" i="9" s="1"/>
  <c r="AE193" i="9"/>
  <c r="AF193" i="9" s="1"/>
  <c r="AE595" i="9"/>
  <c r="AF595" i="9" s="1"/>
  <c r="AE178" i="9"/>
  <c r="AF178" i="9" s="1"/>
  <c r="AE80" i="9"/>
  <c r="AF80" i="9" s="1"/>
  <c r="AE578" i="9"/>
  <c r="AF578" i="9" s="1"/>
  <c r="AE40" i="9"/>
  <c r="AF40" i="9" s="1"/>
  <c r="AE319" i="9"/>
  <c r="AF319" i="9" s="1"/>
  <c r="AE337" i="9"/>
  <c r="AF337" i="9" s="1"/>
  <c r="AE285" i="9"/>
  <c r="AF285" i="9" s="1"/>
  <c r="AE224" i="9"/>
  <c r="AF224" i="9" s="1"/>
  <c r="AE237" i="9"/>
  <c r="AF237" i="9" s="1"/>
  <c r="AE37" i="9"/>
  <c r="AF37" i="9" s="1"/>
  <c r="AE600" i="9"/>
  <c r="AF600" i="9" s="1"/>
  <c r="AE590" i="9"/>
  <c r="AF590" i="9" s="1"/>
  <c r="AE148" i="9"/>
  <c r="AF148" i="9" s="1"/>
  <c r="AE46" i="9"/>
  <c r="AF46" i="9" s="1"/>
  <c r="AE598" i="9"/>
  <c r="AF598" i="9" s="1"/>
  <c r="AE284" i="9"/>
  <c r="AF284" i="9" s="1"/>
  <c r="AE226" i="9"/>
  <c r="AF226" i="9" s="1"/>
  <c r="AE290" i="9"/>
  <c r="AF290" i="9" s="1"/>
  <c r="AE213" i="9"/>
  <c r="AF213" i="9" s="1"/>
  <c r="AE630" i="9"/>
  <c r="AF630" i="9" s="1"/>
  <c r="AE297" i="9"/>
  <c r="AF297" i="9" s="1"/>
  <c r="AE615" i="9"/>
  <c r="AF615" i="9" s="1"/>
  <c r="AE229" i="9"/>
  <c r="AF229" i="9" s="1"/>
  <c r="AE287" i="9"/>
  <c r="AF287" i="9" s="1"/>
  <c r="AE181" i="9"/>
  <c r="AF181" i="9" s="1"/>
  <c r="AE341" i="9"/>
  <c r="AF341" i="9" s="1"/>
  <c r="AE217" i="9"/>
  <c r="AF217" i="9" s="1"/>
  <c r="AE633" i="9"/>
  <c r="AF633" i="9" s="1"/>
  <c r="AE158" i="9"/>
  <c r="AF158" i="9" s="1"/>
  <c r="AE137" i="9"/>
  <c r="AF137" i="9" s="1"/>
  <c r="AE42" i="9"/>
  <c r="AF42" i="9" s="1"/>
  <c r="AE192" i="9"/>
  <c r="AF192" i="9" s="1"/>
  <c r="AE594" i="9"/>
  <c r="AF594" i="9" s="1"/>
  <c r="AE336" i="9"/>
  <c r="AF336" i="9" s="1"/>
  <c r="AE114" i="9"/>
  <c r="AF114" i="9" s="1"/>
  <c r="AE135" i="9"/>
  <c r="AF135" i="9" s="1"/>
  <c r="AE270" i="9"/>
  <c r="AF270" i="9" s="1"/>
  <c r="AE428" i="9"/>
  <c r="AF428" i="9" s="1"/>
  <c r="AE584" i="9"/>
  <c r="AF584" i="9" s="1"/>
  <c r="AE589" i="9"/>
  <c r="AF589" i="9" s="1"/>
  <c r="J63" i="10"/>
  <c r="E62" i="4" s="1"/>
  <c r="C62" i="4" s="1"/>
  <c r="C83" i="4"/>
  <c r="AE333" i="9"/>
  <c r="AF333" i="9" s="1"/>
  <c r="AE230" i="9"/>
  <c r="AF230" i="9" s="1"/>
  <c r="AE214" i="9"/>
  <c r="AF214" i="9" s="1"/>
  <c r="AE49" i="9"/>
  <c r="AF49" i="9" s="1"/>
  <c r="AE294" i="9"/>
  <c r="AF294" i="9" s="1"/>
  <c r="AE325" i="9"/>
  <c r="AF325" i="9" s="1"/>
  <c r="AE194" i="9"/>
  <c r="AF194" i="9" s="1"/>
  <c r="AE239" i="9"/>
  <c r="AF239" i="9" s="1"/>
  <c r="AE51" i="9"/>
  <c r="AF51" i="9" s="1"/>
  <c r="AE198" i="9"/>
  <c r="AF198" i="9" s="1"/>
  <c r="AE50" i="9"/>
  <c r="AF50" i="9" s="1"/>
  <c r="AE246" i="9"/>
  <c r="AF246" i="9" s="1"/>
  <c r="AE19" i="9"/>
  <c r="AF19" i="9" s="1"/>
  <c r="D83" i="4"/>
  <c r="AE18" i="9"/>
  <c r="AF18" i="9" s="1"/>
  <c r="AE299" i="9"/>
  <c r="AF299" i="9" s="1"/>
  <c r="AE172" i="9"/>
  <c r="AF172" i="9" s="1"/>
  <c r="AE225" i="9"/>
  <c r="AF225" i="9" s="1"/>
  <c r="AE180" i="9"/>
  <c r="AF180" i="9" s="1"/>
  <c r="AE17" i="9"/>
  <c r="AF17" i="9" s="1"/>
  <c r="AE241" i="9"/>
  <c r="AF241" i="9" s="1"/>
  <c r="AE209" i="9"/>
  <c r="AF209" i="9" s="1"/>
  <c r="AE324" i="9"/>
  <c r="AF324" i="9" s="1"/>
  <c r="AE260" i="9"/>
  <c r="AF260" i="9" s="1"/>
  <c r="AE255" i="9"/>
  <c r="AF255" i="9" s="1"/>
  <c r="AE283" i="9"/>
  <c r="AF283" i="9" s="1"/>
  <c r="AE159" i="9"/>
  <c r="AF159" i="9" s="1"/>
  <c r="AE203" i="9"/>
  <c r="AF203" i="9" s="1"/>
  <c r="AE215" i="9"/>
  <c r="AF215" i="9" s="1"/>
  <c r="AE200" i="9"/>
  <c r="AF200" i="9" s="1"/>
  <c r="AE345" i="9"/>
  <c r="AF345" i="9" s="1"/>
  <c r="AE274" i="9"/>
  <c r="AF274" i="9" s="1"/>
  <c r="AE223" i="9"/>
  <c r="AF223" i="9" s="1"/>
  <c r="AE307" i="9"/>
  <c r="AF307" i="9" s="1"/>
  <c r="AE386" i="9"/>
  <c r="AF386" i="9" s="1"/>
  <c r="AE346" i="9"/>
  <c r="AF346" i="9" s="1"/>
  <c r="AE314" i="9"/>
  <c r="AF314" i="9" s="1"/>
  <c r="AE247" i="9"/>
  <c r="AF247" i="9" s="1"/>
  <c r="AE231" i="9"/>
  <c r="AF231" i="9" s="1"/>
  <c r="AE316" i="9"/>
  <c r="AF316" i="9" s="1"/>
  <c r="AE179" i="9"/>
  <c r="AF179" i="9" s="1"/>
  <c r="AE348" i="9"/>
  <c r="AF348" i="9" s="1"/>
  <c r="AE199" i="9"/>
  <c r="AF199" i="9" s="1"/>
  <c r="AE212" i="9"/>
  <c r="AF212" i="9" s="1"/>
  <c r="AE187" i="9"/>
  <c r="AF187" i="9" s="1"/>
  <c r="AE211" i="9"/>
  <c r="AF211" i="9" s="1"/>
  <c r="AE196" i="9"/>
  <c r="AF196" i="9" s="1"/>
  <c r="AE313" i="9"/>
  <c r="AF313" i="9" s="1"/>
  <c r="AE278" i="9"/>
  <c r="AF278" i="9" s="1"/>
  <c r="AE357" i="9"/>
  <c r="AF357" i="9" s="1"/>
  <c r="AE279" i="9"/>
  <c r="AF279" i="9" s="1"/>
  <c r="AE295" i="9"/>
  <c r="AF295" i="9" s="1"/>
  <c r="AE332" i="9"/>
  <c r="AF332" i="9" s="1"/>
  <c r="AE235" i="9"/>
  <c r="AF235" i="9" s="1"/>
  <c r="AE219" i="9"/>
  <c r="AF219" i="9" s="1"/>
  <c r="AE208" i="9"/>
  <c r="AF208" i="9" s="1"/>
  <c r="AE183" i="9"/>
  <c r="AF183" i="9" s="1"/>
  <c r="AE356" i="9"/>
  <c r="AF356" i="9" s="1"/>
  <c r="AE300" i="9"/>
  <c r="AF300" i="9" s="1"/>
  <c r="AE301" i="9"/>
  <c r="AF301" i="9" s="1"/>
  <c r="AE184" i="9"/>
  <c r="AF184" i="9" s="1"/>
  <c r="C17" i="4"/>
  <c r="K42" i="10"/>
  <c r="J687" i="9"/>
  <c r="J703" i="9" s="1"/>
  <c r="AE318" i="9"/>
  <c r="AF318" i="9" s="1"/>
  <c r="AE354" i="9"/>
  <c r="AF354" i="9" s="1"/>
  <c r="AE338" i="9"/>
  <c r="AF338" i="9" s="1"/>
  <c r="AE322" i="9"/>
  <c r="AF322" i="9" s="1"/>
  <c r="AE358" i="9"/>
  <c r="AF358" i="9" s="1"/>
  <c r="AE326" i="9"/>
  <c r="AF326" i="9" s="1"/>
  <c r="AE382" i="9"/>
  <c r="AF382" i="9" s="1"/>
  <c r="AE378" i="9"/>
  <c r="AF378" i="9" s="1"/>
  <c r="AE334" i="9"/>
  <c r="AF334" i="9" s="1"/>
  <c r="AE390" i="9"/>
  <c r="AF390" i="9" s="1"/>
  <c r="AE370" i="9"/>
  <c r="AF370" i="9" s="1"/>
  <c r="D18" i="4"/>
  <c r="AE350" i="9"/>
  <c r="AF350" i="9" s="1"/>
  <c r="AE303" i="9"/>
  <c r="AF303" i="9" s="1"/>
  <c r="AE342" i="9"/>
  <c r="AF342" i="9" s="1"/>
  <c r="AE310" i="9"/>
  <c r="AF310" i="9" s="1"/>
  <c r="AE243" i="9"/>
  <c r="AF243" i="9" s="1"/>
  <c r="AE227" i="9"/>
  <c r="AF227" i="9" s="1"/>
  <c r="AE366" i="9"/>
  <c r="AF366" i="9" s="1"/>
  <c r="AE330" i="9"/>
  <c r="AF330" i="9" s="1"/>
  <c r="AE167" i="9"/>
  <c r="AF167" i="9" s="1"/>
  <c r="AE362" i="9"/>
  <c r="AF362" i="9" s="1"/>
  <c r="AE207" i="9"/>
  <c r="AF207" i="9" s="1"/>
  <c r="AE191" i="9"/>
  <c r="AF191" i="9" s="1"/>
  <c r="AE175" i="9"/>
  <c r="AF175" i="9" s="1"/>
  <c r="AE195" i="9"/>
  <c r="AF195" i="9" s="1"/>
  <c r="AE171" i="9"/>
  <c r="AF171" i="9" s="1"/>
  <c r="AE163" i="9"/>
  <c r="AF163" i="9" s="1"/>
  <c r="AE204" i="9"/>
  <c r="AF204" i="9" s="1"/>
  <c r="C16" i="4"/>
  <c r="K7" i="10"/>
  <c r="Q43" i="12"/>
  <c r="K687" i="9"/>
  <c r="K703" i="9" s="1"/>
  <c r="T43" i="12"/>
  <c r="V40" i="12"/>
  <c r="D40" i="12"/>
  <c r="W43" i="12"/>
  <c r="V43" i="12"/>
  <c r="T40" i="12"/>
  <c r="N43" i="12"/>
  <c r="M40" i="12"/>
  <c r="L40" i="12"/>
  <c r="R43" i="12"/>
  <c r="H9" i="10"/>
  <c r="C15" i="4"/>
  <c r="I9" i="10"/>
  <c r="K6" i="10"/>
  <c r="E18" i="4"/>
  <c r="K67" i="10"/>
  <c r="K5" i="10"/>
  <c r="K8" i="10"/>
  <c r="E26" i="4"/>
  <c r="C26" i="4" s="1"/>
  <c r="G5" i="11"/>
  <c r="E38" i="4"/>
  <c r="C38" i="4" s="1"/>
  <c r="F5" i="11"/>
  <c r="J9" i="10"/>
  <c r="AE8" i="9"/>
  <c r="C92" i="4"/>
  <c r="E9" i="11"/>
  <c r="K81" i="10"/>
  <c r="I50" i="10"/>
  <c r="D44" i="4" s="1"/>
  <c r="K49" i="10"/>
  <c r="K34" i="10"/>
  <c r="E40" i="4"/>
  <c r="C40" i="4" s="1"/>
  <c r="K46" i="10"/>
  <c r="E64" i="4"/>
  <c r="C64" i="4" s="1"/>
  <c r="C43" i="4"/>
  <c r="E36" i="4"/>
  <c r="C36" i="4" s="1"/>
  <c r="Y23" i="12"/>
  <c r="Z23" i="12" s="1"/>
  <c r="B23" i="8"/>
  <c r="B23" i="7"/>
  <c r="B15" i="8"/>
  <c r="B15" i="7"/>
  <c r="B22" i="8"/>
  <c r="B22" i="7"/>
  <c r="B14" i="8"/>
  <c r="B14" i="7"/>
  <c r="C77" i="4"/>
  <c r="C65" i="4"/>
  <c r="D35" i="4"/>
  <c r="C35" i="4" s="1"/>
  <c r="E42" i="4"/>
  <c r="C42" i="4" s="1"/>
  <c r="D27" i="4"/>
  <c r="C27" i="4" s="1"/>
  <c r="N25" i="7"/>
  <c r="N32" i="7" s="1"/>
  <c r="B21" i="8"/>
  <c r="B21" i="7"/>
  <c r="B13" i="8"/>
  <c r="B13" i="7"/>
  <c r="Z12" i="12"/>
  <c r="B20" i="8"/>
  <c r="B20" i="7"/>
  <c r="B12" i="8"/>
  <c r="B12" i="7"/>
  <c r="C74" i="4"/>
  <c r="B17" i="8"/>
  <c r="B17" i="7"/>
  <c r="B24" i="7"/>
  <c r="B24" i="8"/>
  <c r="B16" i="8"/>
  <c r="B16" i="7"/>
  <c r="B8" i="8"/>
  <c r="B8" i="7"/>
  <c r="K85" i="10"/>
  <c r="K77" i="10"/>
  <c r="D33" i="4"/>
  <c r="B9" i="8"/>
  <c r="B9" i="7"/>
  <c r="C72" i="4"/>
  <c r="Y17" i="12"/>
  <c r="Z17" i="12" s="1"/>
  <c r="B19" i="8"/>
  <c r="B19" i="7"/>
  <c r="B11" i="8"/>
  <c r="B11" i="7"/>
  <c r="B18" i="8"/>
  <c r="B18" i="7"/>
  <c r="D75" i="4"/>
  <c r="C75" i="4" s="1"/>
  <c r="C34" i="4"/>
  <c r="D39" i="4"/>
  <c r="C39" i="4" s="1"/>
  <c r="D37" i="4"/>
  <c r="C37" i="4" s="1"/>
  <c r="D25" i="4"/>
  <c r="K30" i="10"/>
  <c r="C76" i="4"/>
  <c r="B10" i="8"/>
  <c r="B10" i="7"/>
  <c r="C73" i="4"/>
  <c r="C41" i="4"/>
  <c r="C63" i="4"/>
  <c r="AD548" i="9" l="1"/>
  <c r="AE548" i="9" s="1"/>
  <c r="AF548" i="9" s="1"/>
  <c r="K43" i="12"/>
  <c r="AD440" i="9"/>
  <c r="AE440" i="9" s="1"/>
  <c r="AF440" i="9" s="1"/>
  <c r="J30" i="12"/>
  <c r="J32" i="12" s="1"/>
  <c r="I43" i="12"/>
  <c r="AD556" i="9"/>
  <c r="AE556" i="9" s="1"/>
  <c r="AF556" i="9" s="1"/>
  <c r="AD669" i="9"/>
  <c r="AE669" i="9" s="1"/>
  <c r="AF669" i="9" s="1"/>
  <c r="AD671" i="9"/>
  <c r="AE671" i="9" s="1"/>
  <c r="AF671" i="9" s="1"/>
  <c r="AD545" i="9"/>
  <c r="AE545" i="9" s="1"/>
  <c r="AF545" i="9" s="1"/>
  <c r="H41" i="12"/>
  <c r="H43" i="12" s="1"/>
  <c r="AD668" i="9"/>
  <c r="AE668" i="9" s="1"/>
  <c r="AF668" i="9" s="1"/>
  <c r="AD667" i="9"/>
  <c r="AE667" i="9" s="1"/>
  <c r="AF667" i="9" s="1"/>
  <c r="K6" i="12"/>
  <c r="G12" i="6" s="1"/>
  <c r="I30" i="12"/>
  <c r="I32" i="12" s="1"/>
  <c r="AD672" i="9"/>
  <c r="AE672" i="9" s="1"/>
  <c r="AF672" i="9" s="1"/>
  <c r="AD546" i="9"/>
  <c r="AE546" i="9" s="1"/>
  <c r="AF546" i="9" s="1"/>
  <c r="AD373" i="9"/>
  <c r="AE373" i="9" s="1"/>
  <c r="AF373" i="9" s="1"/>
  <c r="J41" i="12"/>
  <c r="J43" i="12" s="1"/>
  <c r="AD343" i="9"/>
  <c r="AE343" i="9" s="1"/>
  <c r="AF343" i="9" s="1"/>
  <c r="AD526" i="9"/>
  <c r="AE526" i="9" s="1"/>
  <c r="AF526" i="9" s="1"/>
  <c r="AD518" i="9"/>
  <c r="AE518" i="9" s="1"/>
  <c r="AF518" i="9" s="1"/>
  <c r="K30" i="12"/>
  <c r="K32" i="12" s="1"/>
  <c r="H30" i="12"/>
  <c r="H32" i="12" s="1"/>
  <c r="AD552" i="9"/>
  <c r="AE552" i="9" s="1"/>
  <c r="AF552" i="9" s="1"/>
  <c r="AD666" i="9"/>
  <c r="AE666" i="9" s="1"/>
  <c r="AF666" i="9" s="1"/>
  <c r="G41" i="12"/>
  <c r="AD547" i="9"/>
  <c r="AE547" i="9" s="1"/>
  <c r="AF547" i="9" s="1"/>
  <c r="J6" i="12"/>
  <c r="G11" i="6" s="1"/>
  <c r="AD512" i="9"/>
  <c r="AE512" i="9" s="1"/>
  <c r="AF512" i="9" s="1"/>
  <c r="AD439" i="9"/>
  <c r="AE439" i="9" s="1"/>
  <c r="AF439" i="9" s="1"/>
  <c r="H6" i="12"/>
  <c r="G9" i="6" s="1"/>
  <c r="AD544" i="9"/>
  <c r="AE544" i="9" s="1"/>
  <c r="AF544" i="9" s="1"/>
  <c r="G30" i="12"/>
  <c r="AD257" i="9"/>
  <c r="AE257" i="9" s="1"/>
  <c r="AF257" i="9" s="1"/>
  <c r="AD422" i="9"/>
  <c r="AE422" i="9" s="1"/>
  <c r="AF422" i="9" s="1"/>
  <c r="AD484" i="9"/>
  <c r="AE484" i="9" s="1"/>
  <c r="AF484" i="9" s="1"/>
  <c r="AD413" i="9"/>
  <c r="AE413" i="9" s="1"/>
  <c r="AF413" i="9" s="1"/>
  <c r="AD458" i="9"/>
  <c r="AE458" i="9" s="1"/>
  <c r="AF458" i="9" s="1"/>
  <c r="AD459" i="9"/>
  <c r="AE459" i="9" s="1"/>
  <c r="AF459" i="9" s="1"/>
  <c r="AD411" i="9"/>
  <c r="AE411" i="9" s="1"/>
  <c r="AF411" i="9" s="1"/>
  <c r="AD409" i="9"/>
  <c r="AE409" i="9" s="1"/>
  <c r="AF409" i="9" s="1"/>
  <c r="AD519" i="9"/>
  <c r="AE519" i="9" s="1"/>
  <c r="AF519" i="9" s="1"/>
  <c r="H27" i="12"/>
  <c r="H29" i="12" s="1"/>
  <c r="I6" i="12"/>
  <c r="G10" i="6" s="1"/>
  <c r="N687" i="9"/>
  <c r="N703" i="9" s="1"/>
  <c r="I4" i="12"/>
  <c r="E10" i="6" s="1"/>
  <c r="I24" i="12"/>
  <c r="I26" i="12" s="1"/>
  <c r="J5" i="11"/>
  <c r="I38" i="12"/>
  <c r="I40" i="12" s="1"/>
  <c r="J27" i="12"/>
  <c r="J29" i="12" s="1"/>
  <c r="AD455" i="9"/>
  <c r="AE455" i="9" s="1"/>
  <c r="AF455" i="9" s="1"/>
  <c r="AD507" i="9"/>
  <c r="AE507" i="9" s="1"/>
  <c r="AF507" i="9" s="1"/>
  <c r="AD412" i="9"/>
  <c r="AE412" i="9" s="1"/>
  <c r="AF412" i="9" s="1"/>
  <c r="K7" i="12"/>
  <c r="H12" i="6" s="1"/>
  <c r="K14" i="12"/>
  <c r="K18" i="12"/>
  <c r="K20" i="12" s="1"/>
  <c r="K3" i="12"/>
  <c r="D12" i="6" s="1"/>
  <c r="O687" i="9"/>
  <c r="O703" i="9" s="1"/>
  <c r="J24" i="12"/>
  <c r="J26" i="12" s="1"/>
  <c r="J4" i="12"/>
  <c r="E11" i="6" s="1"/>
  <c r="K5" i="11"/>
  <c r="J38" i="12"/>
  <c r="J40" i="12" s="1"/>
  <c r="AD520" i="9"/>
  <c r="AE520" i="9" s="1"/>
  <c r="AF520" i="9" s="1"/>
  <c r="H7" i="12"/>
  <c r="H9" i="6" s="1"/>
  <c r="H14" i="12"/>
  <c r="H18" i="12"/>
  <c r="H20" i="12" s="1"/>
  <c r="H3" i="12"/>
  <c r="D9" i="6" s="1"/>
  <c r="I27" i="12"/>
  <c r="I29" i="12" s="1"/>
  <c r="P687" i="9"/>
  <c r="P703" i="9" s="1"/>
  <c r="K24" i="12"/>
  <c r="K26" i="12" s="1"/>
  <c r="K4" i="12"/>
  <c r="E12" i="6" s="1"/>
  <c r="L5" i="11"/>
  <c r="K38" i="12"/>
  <c r="K40" i="12" s="1"/>
  <c r="J7" i="12"/>
  <c r="H11" i="6" s="1"/>
  <c r="J14" i="12"/>
  <c r="J18" i="12"/>
  <c r="J20" i="12" s="1"/>
  <c r="J3" i="12"/>
  <c r="D11" i="6" s="1"/>
  <c r="AD262" i="9"/>
  <c r="AE262" i="9" s="1"/>
  <c r="AF262" i="9" s="1"/>
  <c r="L687" i="9"/>
  <c r="L703" i="9" s="1"/>
  <c r="G24" i="12"/>
  <c r="G4" i="12"/>
  <c r="AD138" i="9"/>
  <c r="H5" i="11"/>
  <c r="G38" i="12"/>
  <c r="AD266" i="9"/>
  <c r="AE266" i="9" s="1"/>
  <c r="AF266" i="9" s="1"/>
  <c r="AD267" i="9"/>
  <c r="AE267" i="9" s="1"/>
  <c r="AF267" i="9" s="1"/>
  <c r="G7" i="12"/>
  <c r="AD251" i="9"/>
  <c r="AE251" i="9" s="1"/>
  <c r="AF251" i="9" s="1"/>
  <c r="G14" i="12"/>
  <c r="AD454" i="9"/>
  <c r="AE454" i="9" s="1"/>
  <c r="AF454" i="9" s="1"/>
  <c r="G27" i="12"/>
  <c r="G29" i="12" s="1"/>
  <c r="AD406" i="9"/>
  <c r="AE406" i="9" s="1"/>
  <c r="AF406" i="9" s="1"/>
  <c r="G18" i="12"/>
  <c r="G3" i="12"/>
  <c r="G6" i="12"/>
  <c r="AD374" i="9"/>
  <c r="AE374" i="9" s="1"/>
  <c r="AF374" i="9" s="1"/>
  <c r="AD261" i="9"/>
  <c r="AE261" i="9" s="1"/>
  <c r="AF261" i="9" s="1"/>
  <c r="M687" i="9"/>
  <c r="M703" i="9" s="1"/>
  <c r="H24" i="12"/>
  <c r="H26" i="12" s="1"/>
  <c r="H4" i="12"/>
  <c r="E9" i="6" s="1"/>
  <c r="H38" i="12"/>
  <c r="H40" i="12" s="1"/>
  <c r="I5" i="11"/>
  <c r="I7" i="12"/>
  <c r="H10" i="6" s="1"/>
  <c r="I14" i="12"/>
  <c r="I18" i="12"/>
  <c r="I20" i="12" s="1"/>
  <c r="I3" i="12"/>
  <c r="D10" i="6" s="1"/>
  <c r="AD410" i="9"/>
  <c r="AE410" i="9" s="1"/>
  <c r="AF410" i="9" s="1"/>
  <c r="AD421" i="9"/>
  <c r="AE421" i="9" s="1"/>
  <c r="AF421" i="9" s="1"/>
  <c r="AD441" i="9"/>
  <c r="AE441" i="9" s="1"/>
  <c r="AF441" i="9" s="1"/>
  <c r="AD288" i="9"/>
  <c r="AE288" i="9" s="1"/>
  <c r="AF288" i="9" s="1"/>
  <c r="AD327" i="9"/>
  <c r="AE327" i="9" s="1"/>
  <c r="AF327" i="9" s="1"/>
  <c r="AD500" i="9"/>
  <c r="AE500" i="9" s="1"/>
  <c r="AF500" i="9" s="1"/>
  <c r="K27" i="12"/>
  <c r="K29" i="12" s="1"/>
  <c r="K63" i="10"/>
  <c r="C18" i="4"/>
  <c r="K9" i="10"/>
  <c r="C94" i="4"/>
  <c r="C96" i="4" s="1"/>
  <c r="E11" i="11"/>
  <c r="C44" i="4"/>
  <c r="K50" i="10"/>
  <c r="AF8" i="9"/>
  <c r="C25" i="4"/>
  <c r="C33" i="4"/>
  <c r="Z5" i="11" l="1"/>
  <c r="AA5" i="11" s="1"/>
  <c r="AB5" i="11" s="1"/>
  <c r="G43" i="12"/>
  <c r="Y43" i="12" s="1"/>
  <c r="Z43" i="12" s="1"/>
  <c r="Y41" i="12"/>
  <c r="G32" i="12"/>
  <c r="Y32" i="12" s="1"/>
  <c r="Z32" i="12" s="1"/>
  <c r="Y30" i="12"/>
  <c r="Z30" i="12" s="1"/>
  <c r="Y18" i="12"/>
  <c r="Z18" i="12" s="1"/>
  <c r="Y29" i="12"/>
  <c r="Z29" i="12" s="1"/>
  <c r="E8" i="6"/>
  <c r="E25" i="6" s="1"/>
  <c r="Y4" i="12"/>
  <c r="Z4" i="12" s="1"/>
  <c r="D8" i="6"/>
  <c r="D25" i="6" s="1"/>
  <c r="Y3" i="12"/>
  <c r="Z3" i="12" s="1"/>
  <c r="Y27" i="12"/>
  <c r="Z27" i="12" s="1"/>
  <c r="G8" i="6"/>
  <c r="G25" i="6" s="1"/>
  <c r="Y6" i="12"/>
  <c r="Z6" i="12" s="1"/>
  <c r="Y24" i="12"/>
  <c r="Z24" i="12" s="1"/>
  <c r="G20" i="12"/>
  <c r="Y20" i="12" s="1"/>
  <c r="Z20" i="12" s="1"/>
  <c r="G26" i="12"/>
  <c r="Y26" i="12" s="1"/>
  <c r="Z26" i="12" s="1"/>
  <c r="Y14" i="12"/>
  <c r="Z14" i="12" s="1"/>
  <c r="G40" i="12"/>
  <c r="Y40" i="12" s="1"/>
  <c r="Z40" i="12" s="1"/>
  <c r="Y38" i="12"/>
  <c r="Z38" i="12" s="1"/>
  <c r="H8" i="6"/>
  <c r="H25" i="6" s="1"/>
  <c r="Y7" i="12"/>
  <c r="Z7" i="12" s="1"/>
  <c r="AD687" i="9"/>
  <c r="AD703" i="9" s="1"/>
  <c r="Z18" i="11" s="1"/>
  <c r="AE138" i="9"/>
  <c r="D39" i="12"/>
  <c r="D44" i="12" s="1"/>
  <c r="T31" i="12"/>
  <c r="P21" i="6" s="1"/>
  <c r="N39" i="10"/>
  <c r="M74" i="10"/>
  <c r="V19" i="12"/>
  <c r="L23" i="6" s="1"/>
  <c r="S25" i="12"/>
  <c r="N20" i="6" s="1"/>
  <c r="T22" i="12"/>
  <c r="M21" i="6" s="1"/>
  <c r="U16" i="12"/>
  <c r="K22" i="6" s="1"/>
  <c r="L28" i="12"/>
  <c r="O13" i="6" s="1"/>
  <c r="Q5" i="12"/>
  <c r="R22" i="12"/>
  <c r="M19" i="6" s="1"/>
  <c r="S19" i="12"/>
  <c r="L20" i="6" s="1"/>
  <c r="P16" i="12"/>
  <c r="K17" i="6" s="1"/>
  <c r="U19" i="12"/>
  <c r="L22" i="6" s="1"/>
  <c r="M13" i="11"/>
  <c r="N27" i="10"/>
  <c r="P5" i="12"/>
  <c r="M16" i="10"/>
  <c r="O31" i="12"/>
  <c r="P16" i="6" s="1"/>
  <c r="R13" i="12"/>
  <c r="D31" i="12"/>
  <c r="S13" i="12"/>
  <c r="W13" i="11"/>
  <c r="K28" i="12"/>
  <c r="O12" i="6" s="1"/>
  <c r="D19" i="12"/>
  <c r="U22" i="12"/>
  <c r="M22" i="6" s="1"/>
  <c r="T13" i="12"/>
  <c r="T13" i="11"/>
  <c r="N78" i="10"/>
  <c r="J13" i="11"/>
  <c r="U28" i="12"/>
  <c r="O22" i="6" s="1"/>
  <c r="Q16" i="12"/>
  <c r="K18" i="6" s="1"/>
  <c r="P22" i="12"/>
  <c r="M17" i="6" s="1"/>
  <c r="N74" i="10"/>
  <c r="W22" i="12"/>
  <c r="M24" i="6" s="1"/>
  <c r="G16" i="12"/>
  <c r="V28" i="12"/>
  <c r="O23" i="6" s="1"/>
  <c r="R19" i="12"/>
  <c r="L19" i="6" s="1"/>
  <c r="N47" i="10"/>
  <c r="V31" i="12"/>
  <c r="P23" i="6" s="1"/>
  <c r="I13" i="11"/>
  <c r="U5" i="12"/>
  <c r="N20" i="10"/>
  <c r="M47" i="10"/>
  <c r="Q28" i="12"/>
  <c r="O18" i="6" s="1"/>
  <c r="P19" i="12"/>
  <c r="L17" i="6" s="1"/>
  <c r="S28" i="12"/>
  <c r="O20" i="6" s="1"/>
  <c r="S16" i="12"/>
  <c r="K20" i="6" s="1"/>
  <c r="V25" i="12"/>
  <c r="N23" i="6" s="1"/>
  <c r="R16" i="12"/>
  <c r="K19" i="6" s="1"/>
  <c r="R31" i="12"/>
  <c r="P19" i="6" s="1"/>
  <c r="N84" i="10"/>
  <c r="D5" i="12"/>
  <c r="D8" i="12" s="1"/>
  <c r="M82" i="10"/>
  <c r="R13" i="11"/>
  <c r="Q25" i="12"/>
  <c r="N18" i="6" s="1"/>
  <c r="H25" i="12"/>
  <c r="N9" i="6" s="1"/>
  <c r="M28" i="12"/>
  <c r="O14" i="6" s="1"/>
  <c r="I16" i="12"/>
  <c r="K10" i="6" s="1"/>
  <c r="T25" i="12"/>
  <c r="N21" i="6" s="1"/>
  <c r="H13" i="12"/>
  <c r="N64" i="10"/>
  <c r="I28" i="12"/>
  <c r="O10" i="6" s="1"/>
  <c r="K22" i="12"/>
  <c r="M12" i="6" s="1"/>
  <c r="G5" i="12"/>
  <c r="H31" i="12"/>
  <c r="P9" i="6" s="1"/>
  <c r="N25" i="12"/>
  <c r="N15" i="6" s="1"/>
  <c r="M66" i="10"/>
  <c r="M37" i="10"/>
  <c r="U25" i="12"/>
  <c r="N22" i="6" s="1"/>
  <c r="Q13" i="12"/>
  <c r="T19" i="12"/>
  <c r="L21" i="6" s="1"/>
  <c r="W28" i="12"/>
  <c r="O24" i="6" s="1"/>
  <c r="G22" i="12"/>
  <c r="O13" i="12"/>
  <c r="D28" i="12"/>
  <c r="V16" i="12"/>
  <c r="K23" i="6" s="1"/>
  <c r="M35" i="10"/>
  <c r="N43" i="10"/>
  <c r="K5" i="12"/>
  <c r="R5" i="12"/>
  <c r="O13" i="11"/>
  <c r="M29" i="10"/>
  <c r="M19" i="12"/>
  <c r="L14" i="6" s="1"/>
  <c r="H16" i="12"/>
  <c r="K9" i="6" s="1"/>
  <c r="K25" i="12"/>
  <c r="N12" i="6" s="1"/>
  <c r="K13" i="12"/>
  <c r="D25" i="12"/>
  <c r="J13" i="12"/>
  <c r="M76" i="10"/>
  <c r="O5" i="12"/>
  <c r="V5" i="12"/>
  <c r="N16" i="10"/>
  <c r="N66" i="10"/>
  <c r="M22" i="12"/>
  <c r="M14" i="6" s="1"/>
  <c r="M25" i="12"/>
  <c r="N14" i="6" s="1"/>
  <c r="I13" i="12"/>
  <c r="H22" i="12"/>
  <c r="M9" i="6" s="1"/>
  <c r="G25" i="12"/>
  <c r="O16" i="12"/>
  <c r="K16" i="6" s="1"/>
  <c r="N28" i="12"/>
  <c r="O15" i="6" s="1"/>
  <c r="J19" i="12"/>
  <c r="L11" i="6" s="1"/>
  <c r="W31" i="12"/>
  <c r="P24" i="6" s="1"/>
  <c r="M31" i="10"/>
  <c r="M41" i="10"/>
  <c r="L5" i="12"/>
  <c r="N35" i="10"/>
  <c r="N13" i="11"/>
  <c r="N49" i="10"/>
  <c r="J28" i="12"/>
  <c r="O11" i="6" s="1"/>
  <c r="I25" i="12"/>
  <c r="N10" i="6" s="1"/>
  <c r="M78" i="10"/>
  <c r="U31" i="12"/>
  <c r="P22" i="6" s="1"/>
  <c r="L25" i="12"/>
  <c r="N13" i="6" s="1"/>
  <c r="O25" i="12"/>
  <c r="N16" i="6" s="1"/>
  <c r="S31" i="12"/>
  <c r="P20" i="6" s="1"/>
  <c r="N13" i="12"/>
  <c r="N31" i="10"/>
  <c r="N62" i="10"/>
  <c r="K31" i="12"/>
  <c r="P12" i="6" s="1"/>
  <c r="R28" i="12"/>
  <c r="O19" i="6" s="1"/>
  <c r="L13" i="11"/>
  <c r="I5" i="12"/>
  <c r="M68" i="10"/>
  <c r="Q31" i="12"/>
  <c r="P18" i="6" s="1"/>
  <c r="U13" i="12"/>
  <c r="N5" i="12"/>
  <c r="P25" i="12"/>
  <c r="N17" i="6" s="1"/>
  <c r="N45" i="10"/>
  <c r="N41" i="10"/>
  <c r="Q22" i="12"/>
  <c r="M18" i="6" s="1"/>
  <c r="L16" i="12"/>
  <c r="K13" i="6" s="1"/>
  <c r="O19" i="12"/>
  <c r="L16" i="6" s="1"/>
  <c r="J25" i="12"/>
  <c r="N11" i="6" s="1"/>
  <c r="M27" i="10"/>
  <c r="N91" i="10"/>
  <c r="J94" i="10" s="1"/>
  <c r="N80" i="10"/>
  <c r="T28" i="12"/>
  <c r="O21" i="6" s="1"/>
  <c r="S22" i="12"/>
  <c r="M20" i="6" s="1"/>
  <c r="J22" i="12"/>
  <c r="M11" i="6" s="1"/>
  <c r="N68" i="10"/>
  <c r="M62" i="10"/>
  <c r="N33" i="10"/>
  <c r="M16" i="12"/>
  <c r="K14" i="6" s="1"/>
  <c r="I22" i="12"/>
  <c r="M10" i="6" s="1"/>
  <c r="L19" i="12"/>
  <c r="L13" i="6" s="1"/>
  <c r="W25" i="12"/>
  <c r="N24" i="6" s="1"/>
  <c r="W13" i="12"/>
  <c r="V22" i="12"/>
  <c r="M23" i="6" s="1"/>
  <c r="D13" i="12"/>
  <c r="X13" i="11"/>
  <c r="M91" i="10"/>
  <c r="N76" i="10"/>
  <c r="M43" i="10"/>
  <c r="M49" i="10"/>
  <c r="I31" i="12"/>
  <c r="P10" i="6" s="1"/>
  <c r="H28" i="12"/>
  <c r="O9" i="6" s="1"/>
  <c r="S13" i="11"/>
  <c r="N31" i="12"/>
  <c r="P15" i="6" s="1"/>
  <c r="H5" i="12"/>
  <c r="M31" i="12"/>
  <c r="P14" i="6" s="1"/>
  <c r="G31" i="12"/>
  <c r="N16" i="12"/>
  <c r="K15" i="6" s="1"/>
  <c r="N82" i="10"/>
  <c r="G13" i="11"/>
  <c r="M84" i="10"/>
  <c r="M64" i="10"/>
  <c r="H19" i="12"/>
  <c r="L9" i="6" s="1"/>
  <c r="W5" i="12"/>
  <c r="N29" i="10"/>
  <c r="Q19" i="12"/>
  <c r="L18" i="6" s="1"/>
  <c r="P13" i="12"/>
  <c r="W16" i="12"/>
  <c r="K24" i="6" s="1"/>
  <c r="N22" i="12"/>
  <c r="M15" i="6" s="1"/>
  <c r="P13" i="11"/>
  <c r="T5" i="12"/>
  <c r="V13" i="11"/>
  <c r="L22" i="12"/>
  <c r="M13" i="6" s="1"/>
  <c r="K19" i="12"/>
  <c r="L12" i="6" s="1"/>
  <c r="N19" i="12"/>
  <c r="L15" i="6" s="1"/>
  <c r="U13" i="11"/>
  <c r="M18" i="10"/>
  <c r="M13" i="12"/>
  <c r="I19" i="12"/>
  <c r="L10" i="6" s="1"/>
  <c r="T16" i="12"/>
  <c r="K21" i="6" s="1"/>
  <c r="O22" i="12"/>
  <c r="M16" i="6" s="1"/>
  <c r="G13" i="12"/>
  <c r="D22" i="12"/>
  <c r="M80" i="10"/>
  <c r="H13" i="11"/>
  <c r="S5" i="12"/>
  <c r="M33" i="10"/>
  <c r="N18" i="10"/>
  <c r="K16" i="12"/>
  <c r="K12" i="6" s="1"/>
  <c r="J16" i="12"/>
  <c r="K11" i="6" s="1"/>
  <c r="G28" i="12"/>
  <c r="D16" i="12"/>
  <c r="P31" i="12"/>
  <c r="P17" i="6" s="1"/>
  <c r="L13" i="12"/>
  <c r="M20" i="10"/>
  <c r="K13" i="11"/>
  <c r="L31" i="12"/>
  <c r="P13" i="6" s="1"/>
  <c r="W19" i="12"/>
  <c r="L24" i="6" s="1"/>
  <c r="J31" i="12"/>
  <c r="P11" i="6" s="1"/>
  <c r="M45" i="10"/>
  <c r="M5" i="12"/>
  <c r="R25" i="12"/>
  <c r="N19" i="6" s="1"/>
  <c r="J5" i="12"/>
  <c r="Q13" i="11"/>
  <c r="P28" i="12"/>
  <c r="O17" i="6" s="1"/>
  <c r="V13" i="12"/>
  <c r="N37" i="10"/>
  <c r="G19" i="12"/>
  <c r="O28" i="12"/>
  <c r="O16" i="6" s="1"/>
  <c r="M39" i="10"/>
  <c r="Z41" i="12" l="1"/>
  <c r="J42" i="12"/>
  <c r="I42" i="12"/>
  <c r="H42" i="12"/>
  <c r="N42" i="12"/>
  <c r="Q42" i="12"/>
  <c r="W42" i="12"/>
  <c r="U42" i="12"/>
  <c r="O42" i="12"/>
  <c r="G42" i="12"/>
  <c r="G39" i="12" s="1"/>
  <c r="R8" i="6" s="1"/>
  <c r="K42" i="12"/>
  <c r="P42" i="12"/>
  <c r="V42" i="12"/>
  <c r="L42" i="12"/>
  <c r="R42" i="12"/>
  <c r="S42" i="12"/>
  <c r="T42" i="12"/>
  <c r="M42" i="12"/>
  <c r="AF138" i="9"/>
  <c r="AF687" i="9" s="1"/>
  <c r="AF703" i="9" s="1"/>
  <c r="AE687" i="9"/>
  <c r="AE703" i="9" s="1"/>
  <c r="H93" i="10"/>
  <c r="K93" i="10" s="1"/>
  <c r="K94" i="10" s="1"/>
  <c r="N70" i="10"/>
  <c r="J70" i="10" s="1"/>
  <c r="E66" i="4" s="1"/>
  <c r="E67" i="4" s="1"/>
  <c r="M51" i="10"/>
  <c r="I51" i="10" s="1"/>
  <c r="M70" i="10"/>
  <c r="I70" i="10" s="1"/>
  <c r="N51" i="10"/>
  <c r="J51" i="10" s="1"/>
  <c r="J52" i="10" s="1"/>
  <c r="M86" i="10"/>
  <c r="Z13" i="11"/>
  <c r="Z19" i="11" s="1"/>
  <c r="Z20" i="11" s="1"/>
  <c r="E13" i="11"/>
  <c r="D33" i="12"/>
  <c r="N86" i="10"/>
  <c r="J86" i="10" s="1"/>
  <c r="J87" i="10" s="1"/>
  <c r="F11" i="6"/>
  <c r="I11" i="6" s="1"/>
  <c r="J8" i="12"/>
  <c r="F20" i="6"/>
  <c r="I20" i="6" s="1"/>
  <c r="S8" i="12"/>
  <c r="Y31" i="12"/>
  <c r="Z31" i="12" s="1"/>
  <c r="P8" i="6"/>
  <c r="P25" i="6" s="1"/>
  <c r="J10" i="6"/>
  <c r="Q10" i="6" s="1"/>
  <c r="I33" i="12"/>
  <c r="R33" i="12"/>
  <c r="J19" i="6"/>
  <c r="Q19" i="6" s="1"/>
  <c r="V33" i="12"/>
  <c r="J23" i="6"/>
  <c r="Q23" i="6" s="1"/>
  <c r="Y28" i="12"/>
  <c r="Z28" i="12" s="1"/>
  <c r="O8" i="6"/>
  <c r="O25" i="6" s="1"/>
  <c r="M33" i="12"/>
  <c r="J14" i="6"/>
  <c r="Q14" i="6" s="1"/>
  <c r="F21" i="6"/>
  <c r="I21" i="6" s="1"/>
  <c r="T8" i="12"/>
  <c r="P33" i="12"/>
  <c r="J17" i="6"/>
  <c r="Q17" i="6" s="1"/>
  <c r="F24" i="6"/>
  <c r="I24" i="6" s="1"/>
  <c r="W8" i="12"/>
  <c r="W33" i="12"/>
  <c r="J24" i="6"/>
  <c r="Q24" i="6" s="1"/>
  <c r="U33" i="12"/>
  <c r="J22" i="6"/>
  <c r="Q22" i="6" s="1"/>
  <c r="N33" i="12"/>
  <c r="J15" i="6"/>
  <c r="Q15" i="6" s="1"/>
  <c r="Y25" i="12"/>
  <c r="Z25" i="12" s="1"/>
  <c r="N8" i="6"/>
  <c r="N25" i="6" s="1"/>
  <c r="F23" i="6"/>
  <c r="I23" i="6" s="1"/>
  <c r="V8" i="12"/>
  <c r="F12" i="6"/>
  <c r="I12" i="6" s="1"/>
  <c r="K8" i="12"/>
  <c r="J8" i="6"/>
  <c r="Y13" i="12"/>
  <c r="G33" i="12"/>
  <c r="F15" i="6"/>
  <c r="I15" i="6" s="1"/>
  <c r="N8" i="12"/>
  <c r="J22" i="10"/>
  <c r="N22" i="10"/>
  <c r="Y16" i="12"/>
  <c r="Z16" i="12" s="1"/>
  <c r="K8" i="6"/>
  <c r="K25" i="6" s="1"/>
  <c r="F14" i="6"/>
  <c r="I14" i="6" s="1"/>
  <c r="M8" i="12"/>
  <c r="L33" i="12"/>
  <c r="J13" i="6"/>
  <c r="Q13" i="6" s="1"/>
  <c r="F10" i="6"/>
  <c r="I10" i="6" s="1"/>
  <c r="I8" i="12"/>
  <c r="F13" i="6"/>
  <c r="I13" i="6" s="1"/>
  <c r="L8" i="12"/>
  <c r="F16" i="6"/>
  <c r="I16" i="6" s="1"/>
  <c r="O8" i="12"/>
  <c r="K33" i="12"/>
  <c r="J12" i="6"/>
  <c r="Q12" i="6" s="1"/>
  <c r="J16" i="6"/>
  <c r="Q16" i="6" s="1"/>
  <c r="O33" i="12"/>
  <c r="Q33" i="12"/>
  <c r="J18" i="6"/>
  <c r="Q18" i="6" s="1"/>
  <c r="F22" i="6"/>
  <c r="I22" i="6" s="1"/>
  <c r="U8" i="12"/>
  <c r="S33" i="12"/>
  <c r="J20" i="6"/>
  <c r="Q20" i="6" s="1"/>
  <c r="I22" i="10"/>
  <c r="M22" i="10"/>
  <c r="F18" i="6"/>
  <c r="I18" i="6" s="1"/>
  <c r="Q8" i="12"/>
  <c r="J33" i="12"/>
  <c r="J11" i="6"/>
  <c r="Q11" i="6" s="1"/>
  <c r="R8" i="12"/>
  <c r="F19" i="6"/>
  <c r="I19" i="6" s="1"/>
  <c r="H33" i="12"/>
  <c r="J9" i="6"/>
  <c r="Q9" i="6" s="1"/>
  <c r="Y19" i="12"/>
  <c r="Z19" i="12" s="1"/>
  <c r="L8" i="6"/>
  <c r="L25" i="6" s="1"/>
  <c r="F9" i="6"/>
  <c r="I9" i="6" s="1"/>
  <c r="H8" i="12"/>
  <c r="Y22" i="12"/>
  <c r="Z22" i="12" s="1"/>
  <c r="M8" i="6"/>
  <c r="M25" i="6" s="1"/>
  <c r="G8" i="12"/>
  <c r="F8" i="6"/>
  <c r="Y5" i="12"/>
  <c r="T33" i="12"/>
  <c r="J21" i="6"/>
  <c r="Q21" i="6" s="1"/>
  <c r="P8" i="12"/>
  <c r="F17" i="6"/>
  <c r="I17" i="6" s="1"/>
  <c r="S8" i="6" l="1"/>
  <c r="T8" i="6" s="1"/>
  <c r="G44" i="12"/>
  <c r="Y42" i="12"/>
  <c r="Z42" i="12" s="1"/>
  <c r="S20" i="6"/>
  <c r="V20" i="6" s="1"/>
  <c r="S39" i="12"/>
  <c r="P39" i="12"/>
  <c r="S17" i="6"/>
  <c r="V17" i="6" s="1"/>
  <c r="U39" i="12"/>
  <c r="S22" i="6"/>
  <c r="V22" i="6" s="1"/>
  <c r="H39" i="12"/>
  <c r="S9" i="6"/>
  <c r="V9" i="6" s="1"/>
  <c r="S19" i="6"/>
  <c r="V19" i="6" s="1"/>
  <c r="R39" i="12"/>
  <c r="S12" i="6"/>
  <c r="V12" i="6" s="1"/>
  <c r="K39" i="12"/>
  <c r="S24" i="6"/>
  <c r="V24" i="6" s="1"/>
  <c r="W39" i="12"/>
  <c r="I39" i="12"/>
  <c r="S10" i="6"/>
  <c r="V10" i="6" s="1"/>
  <c r="S14" i="6"/>
  <c r="V14" i="6" s="1"/>
  <c r="M39" i="12"/>
  <c r="L39" i="12"/>
  <c r="S13" i="6"/>
  <c r="V13" i="6" s="1"/>
  <c r="Q39" i="12"/>
  <c r="S18" i="6"/>
  <c r="V18" i="6" s="1"/>
  <c r="S11" i="6"/>
  <c r="V11" i="6" s="1"/>
  <c r="J39" i="12"/>
  <c r="T39" i="12"/>
  <c r="S21" i="6"/>
  <c r="V21" i="6" s="1"/>
  <c r="S23" i="6"/>
  <c r="V23" i="6" s="1"/>
  <c r="V39" i="12"/>
  <c r="O39" i="12"/>
  <c r="S16" i="6"/>
  <c r="V16" i="6" s="1"/>
  <c r="S15" i="6"/>
  <c r="V15" i="6" s="1"/>
  <c r="N39" i="12"/>
  <c r="J71" i="10"/>
  <c r="AA13" i="11"/>
  <c r="AB13" i="11" s="1"/>
  <c r="K70" i="10"/>
  <c r="K71" i="10" s="1"/>
  <c r="H51" i="10"/>
  <c r="H52" i="10" s="1"/>
  <c r="E45" i="4"/>
  <c r="E46" i="4" s="1"/>
  <c r="K86" i="10"/>
  <c r="K87" i="10" s="1"/>
  <c r="I86" i="10"/>
  <c r="D78" i="4" s="1"/>
  <c r="E78" i="4"/>
  <c r="E79" i="4" s="1"/>
  <c r="E80" i="4" s="1"/>
  <c r="K51" i="10"/>
  <c r="K52" i="10" s="1"/>
  <c r="E68" i="4"/>
  <c r="U8" i="6"/>
  <c r="H22" i="10"/>
  <c r="H23" i="10" s="1"/>
  <c r="J23" i="10"/>
  <c r="E28" i="4"/>
  <c r="E29" i="4" s="1"/>
  <c r="D66" i="4"/>
  <c r="H70" i="10"/>
  <c r="H71" i="10" s="1"/>
  <c r="I71" i="10"/>
  <c r="Y8" i="12"/>
  <c r="Z5" i="12"/>
  <c r="Z8" i="12" s="1"/>
  <c r="D28" i="4"/>
  <c r="I23" i="10"/>
  <c r="Q8" i="6"/>
  <c r="Q25" i="6" s="1"/>
  <c r="J25" i="6"/>
  <c r="H94" i="10"/>
  <c r="I94" i="10"/>
  <c r="D35" i="12"/>
  <c r="D49" i="12" s="1"/>
  <c r="D10" i="12"/>
  <c r="D48" i="12" s="1"/>
  <c r="D46" i="12"/>
  <c r="D50" i="12" s="1"/>
  <c r="D45" i="4"/>
  <c r="I52" i="10"/>
  <c r="K22" i="10"/>
  <c r="K23" i="10" s="1"/>
  <c r="Y33" i="12"/>
  <c r="Z13" i="12"/>
  <c r="Z33" i="12" s="1"/>
  <c r="F25" i="6"/>
  <c r="I8" i="6"/>
  <c r="I25" i="6" s="1"/>
  <c r="V8" i="6" l="1"/>
  <c r="S25" i="6"/>
  <c r="N44" i="12"/>
  <c r="R15" i="6"/>
  <c r="R23" i="6"/>
  <c r="V44" i="12"/>
  <c r="J44" i="12"/>
  <c r="R11" i="6"/>
  <c r="R12" i="6"/>
  <c r="K44" i="12"/>
  <c r="L44" i="12"/>
  <c r="R13" i="6"/>
  <c r="I44" i="12"/>
  <c r="R10" i="6"/>
  <c r="H44" i="12"/>
  <c r="Y39" i="12"/>
  <c r="R9" i="6"/>
  <c r="R17" i="6"/>
  <c r="P44" i="12"/>
  <c r="M44" i="12"/>
  <c r="R14" i="6"/>
  <c r="W44" i="12"/>
  <c r="R24" i="6"/>
  <c r="R44" i="12"/>
  <c r="R19" i="6"/>
  <c r="S44" i="12"/>
  <c r="R20" i="6"/>
  <c r="O44" i="12"/>
  <c r="R16" i="6"/>
  <c r="T44" i="12"/>
  <c r="R21" i="6"/>
  <c r="Q44" i="12"/>
  <c r="R18" i="6"/>
  <c r="R22" i="6"/>
  <c r="U44" i="12"/>
  <c r="E85" i="4"/>
  <c r="E48" i="4"/>
  <c r="E56" i="4" s="1"/>
  <c r="I87" i="10"/>
  <c r="I96" i="10" s="1"/>
  <c r="H86" i="10"/>
  <c r="H87" i="10" s="1"/>
  <c r="H96" i="10" s="1"/>
  <c r="E86" i="4"/>
  <c r="C28" i="4"/>
  <c r="C29" i="4" s="1"/>
  <c r="D29" i="4"/>
  <c r="H98" i="10"/>
  <c r="C45" i="4"/>
  <c r="C46" i="4" s="1"/>
  <c r="D46" i="4"/>
  <c r="K96" i="10"/>
  <c r="K98" i="10"/>
  <c r="C78" i="4"/>
  <c r="C79" i="4" s="1"/>
  <c r="C80" i="4" s="1"/>
  <c r="D79" i="4"/>
  <c r="D80" i="4" s="1"/>
  <c r="I98" i="10"/>
  <c r="D67" i="4"/>
  <c r="C66" i="4"/>
  <c r="C67" i="4" s="1"/>
  <c r="J98" i="10"/>
  <c r="J96" i="10"/>
  <c r="U22" i="6" l="1"/>
  <c r="T22" i="6"/>
  <c r="U17" i="6"/>
  <c r="T17" i="6"/>
  <c r="T10" i="6"/>
  <c r="U10" i="6"/>
  <c r="U18" i="6"/>
  <c r="T18" i="6"/>
  <c r="U16" i="6"/>
  <c r="T16" i="6"/>
  <c r="T19" i="6"/>
  <c r="U19" i="6"/>
  <c r="U14" i="6"/>
  <c r="T14" i="6"/>
  <c r="R25" i="6"/>
  <c r="U9" i="6"/>
  <c r="T9" i="6"/>
  <c r="T12" i="6"/>
  <c r="U12" i="6"/>
  <c r="U23" i="6"/>
  <c r="T23" i="6"/>
  <c r="Z39" i="12"/>
  <c r="Z44" i="12" s="1"/>
  <c r="Y44" i="12"/>
  <c r="U13" i="6"/>
  <c r="T13" i="6"/>
  <c r="U11" i="6"/>
  <c r="T11" i="6"/>
  <c r="U15" i="6"/>
  <c r="T15" i="6"/>
  <c r="U21" i="6"/>
  <c r="T21" i="6"/>
  <c r="U20" i="6"/>
  <c r="T20" i="6"/>
  <c r="U24" i="6"/>
  <c r="T24" i="6"/>
  <c r="E88" i="4"/>
  <c r="E57" i="4"/>
  <c r="K100" i="10"/>
  <c r="J100" i="10"/>
  <c r="I100" i="10"/>
  <c r="H100" i="10"/>
  <c r="D48" i="4"/>
  <c r="D56" i="4" s="1"/>
  <c r="D57" i="4" s="1"/>
  <c r="C48" i="4"/>
  <c r="C56" i="4" s="1"/>
  <c r="X29" i="6" s="1"/>
  <c r="C85" i="4"/>
  <c r="W29" i="6" s="1"/>
  <c r="C68" i="4"/>
  <c r="C86" i="4" s="1"/>
  <c r="D68" i="4"/>
  <c r="D86" i="4" s="1"/>
  <c r="D85" i="4"/>
  <c r="T25" i="6" l="1"/>
  <c r="D88" i="4"/>
  <c r="C57" i="4"/>
  <c r="C88" i="4"/>
  <c r="Q29" i="6" s="1"/>
  <c r="W21" i="6"/>
  <c r="X21" i="6" s="1"/>
  <c r="Y21" i="6" s="1"/>
  <c r="W24" i="6"/>
  <c r="X24" i="6" s="1"/>
  <c r="Y24" i="6" s="1"/>
  <c r="W20" i="6"/>
  <c r="X20" i="6" s="1"/>
  <c r="Y20" i="6" s="1"/>
  <c r="W11" i="6"/>
  <c r="X11" i="6" s="1"/>
  <c r="Y11" i="6" s="1"/>
  <c r="W8" i="6"/>
  <c r="W22" i="6"/>
  <c r="X22" i="6" s="1"/>
  <c r="Y22" i="6" s="1"/>
  <c r="W16" i="6"/>
  <c r="X16" i="6" s="1"/>
  <c r="Y16" i="6" s="1"/>
  <c r="W17" i="6"/>
  <c r="X17" i="6" s="1"/>
  <c r="Y17" i="6" s="1"/>
  <c r="W19" i="6"/>
  <c r="X19" i="6" s="1"/>
  <c r="Y19" i="6" s="1"/>
  <c r="W15" i="6"/>
  <c r="X15" i="6" s="1"/>
  <c r="Y15" i="6" s="1"/>
  <c r="W10" i="6"/>
  <c r="X10" i="6" s="1"/>
  <c r="Y10" i="6" s="1"/>
  <c r="W23" i="6"/>
  <c r="X23" i="6" s="1"/>
  <c r="Y23" i="6" s="1"/>
  <c r="W18" i="6"/>
  <c r="X18" i="6" s="1"/>
  <c r="Y18" i="6" s="1"/>
  <c r="W14" i="6"/>
  <c r="X14" i="6" s="1"/>
  <c r="Y14" i="6" s="1"/>
  <c r="W12" i="6"/>
  <c r="X12" i="6" s="1"/>
  <c r="Y12" i="6" s="1"/>
  <c r="W13" i="6"/>
  <c r="X13" i="6" s="1"/>
  <c r="Y13" i="6" s="1"/>
  <c r="W9" i="6"/>
  <c r="X9" i="6" s="1"/>
  <c r="Y9" i="6" s="1"/>
  <c r="I29" i="6" l="1"/>
  <c r="T29" i="6"/>
  <c r="C89" i="4"/>
  <c r="W25" i="6"/>
  <c r="X8" i="6"/>
  <c r="X25" i="6" l="1"/>
  <c r="Y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Morrison</author>
  </authors>
  <commentList>
    <comment ref="D5" authorId="0" shapeId="0" xr:uid="{F7EE150B-6A76-49C5-AF8D-2D6BCDAFAD17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If your account code is different than the sample, change the formula in Column D so the "8" in the formula is the number of places from the left side of account code in Column A that is the first object of expense code. Also note that this number may change if you use a different account structure in the F fund.</t>
        </r>
      </text>
    </comment>
    <comment ref="L5" authorId="0" shapeId="0" xr:uid="{B3060268-3DBB-4B10-BA8F-3E290126D254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Fill in the School Building name in this section. Information carries
 to other Tabs.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Morrison</author>
  </authors>
  <commentList>
    <comment ref="R7" authorId="0" shapeId="0" xr:uid="{14BF3502-6C47-4645-95CC-2C96BA48851F}">
      <text>
        <r>
          <rPr>
            <b/>
            <sz val="9"/>
            <color indexed="81"/>
            <rFont val="Tahoma"/>
            <family val="2"/>
          </rPr>
          <t>Sarah Morrison:</t>
        </r>
        <r>
          <rPr>
            <sz val="9"/>
            <color indexed="81"/>
            <rFont val="Tahoma"/>
            <family val="2"/>
          </rPr>
          <t xml:space="preserve">
Reminder: This is 3 years or more of total experience; not just at your district</t>
        </r>
      </text>
    </comment>
  </commentList>
</comments>
</file>

<file path=xl/sharedStrings.xml><?xml version="1.0" encoding="utf-8"?>
<sst xmlns="http://schemas.openxmlformats.org/spreadsheetml/2006/main" count="4350" uniqueCount="1824">
  <si>
    <t>Transportation - Salaries</t>
  </si>
  <si>
    <t>Account</t>
  </si>
  <si>
    <t>Description</t>
  </si>
  <si>
    <t>BOCES Services</t>
  </si>
  <si>
    <t>Grand Totals</t>
  </si>
  <si>
    <t>B1</t>
  </si>
  <si>
    <t>B3</t>
  </si>
  <si>
    <t>A1</t>
  </si>
  <si>
    <t>C1</t>
  </si>
  <si>
    <t>C2</t>
  </si>
  <si>
    <t>C3</t>
  </si>
  <si>
    <t>F1</t>
  </si>
  <si>
    <t>E2</t>
  </si>
  <si>
    <t>E3</t>
  </si>
  <si>
    <t>A2</t>
  </si>
  <si>
    <t>B2</t>
  </si>
  <si>
    <t>A3</t>
  </si>
  <si>
    <t>E1</t>
  </si>
  <si>
    <t>F2</t>
  </si>
  <si>
    <t>F3</t>
  </si>
  <si>
    <t>Grand Total</t>
  </si>
  <si>
    <t>Total School Level</t>
  </si>
  <si>
    <t>Fringe Allocation:</t>
  </si>
  <si>
    <t>Object of Expense</t>
  </si>
  <si>
    <t>Sum of All .1 Codes by column</t>
  </si>
  <si>
    <t xml:space="preserve">Sum of All .8 Codes </t>
  </si>
  <si>
    <t>Fringe Rate (Fringes/Salaries)</t>
  </si>
  <si>
    <t>Allocated Fringes</t>
  </si>
  <si>
    <t>Difference</t>
  </si>
  <si>
    <t>Totals</t>
  </si>
  <si>
    <t>Amount of Retiree Benefits in Line above</t>
  </si>
  <si>
    <t>Fringe Benefits for Active Employees</t>
  </si>
  <si>
    <t>Fill in ---&gt;</t>
  </si>
  <si>
    <t>C</t>
  </si>
  <si>
    <t>F</t>
  </si>
  <si>
    <t>V</t>
  </si>
  <si>
    <t>K1</t>
  </si>
  <si>
    <t>K2</t>
  </si>
  <si>
    <t>K3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</si>
  <si>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</si>
  <si>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</si>
  <si>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</si>
  <si>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</si>
  <si>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</si>
  <si>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School #6</t>
  </si>
  <si>
    <t>Part A - District-Level Information</t>
  </si>
  <si>
    <t>School District Name</t>
  </si>
  <si>
    <t>BEDS Code</t>
  </si>
  <si>
    <t>School Year</t>
  </si>
  <si>
    <t>I) Contact Information</t>
  </si>
  <si>
    <t>Mailing Address</t>
  </si>
  <si>
    <t>Contact First &amp; Last Name</t>
  </si>
  <si>
    <t>Street Address Line 1</t>
  </si>
  <si>
    <t>Title of Contact</t>
  </si>
  <si>
    <t>Street Address Line 2</t>
  </si>
  <si>
    <t>Email Address</t>
  </si>
  <si>
    <t>City</t>
  </si>
  <si>
    <t>Phone Number</t>
  </si>
  <si>
    <t>Zip Code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</si>
  <si>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</si>
  <si>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</si>
  <si>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</si>
  <si>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</si>
  <si>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</si>
  <si>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</si>
  <si>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</si>
  <si>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</si>
  <si>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</si>
  <si>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</si>
  <si>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</si>
  <si>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</si>
  <si>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</si>
  <si>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</si>
  <si>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</si>
  <si>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</si>
  <si>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</si>
  <si>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</si>
  <si>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</si>
  <si>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</si>
  <si>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</si>
  <si>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</si>
  <si>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</si>
  <si>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</si>
  <si>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</si>
  <si>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</si>
  <si>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</si>
  <si>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</si>
  <si>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</si>
  <si>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</si>
  <si>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</si>
  <si>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</si>
  <si>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</si>
  <si>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Total Tuition/Payments to Non-District Schools Exclusions</t>
  </si>
  <si>
    <t>Total Exclusions</t>
  </si>
  <si>
    <t>D) Projected 2019-20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</si>
  <si>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</si>
  <si>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</si>
  <si>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</si>
  <si>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</si>
  <si>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</si>
  <si>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</si>
  <si>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</si>
  <si>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</si>
  <si>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A) General Support Costs</t>
  </si>
  <si>
    <t>(FTE Basis)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</si>
  <si>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</si>
  <si>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</si>
  <si>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</si>
  <si>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</si>
  <si>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</si>
  <si>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</si>
  <si>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</si>
  <si>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</si>
  <si>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</si>
  <si>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</si>
  <si>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</si>
  <si>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</si>
  <si>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</si>
  <si>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</si>
  <si>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</si>
  <si>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</si>
  <si>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</si>
  <si>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</si>
  <si>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</si>
  <si>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</si>
  <si>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</si>
  <si>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</si>
  <si>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</si>
  <si>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Part B - Basic School-Level Information</t>
  </si>
  <si>
    <t>Grade Span (excl. Pre-K)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</si>
  <si>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</si>
  <si>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</si>
  <si>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</si>
  <si>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</si>
  <si>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</si>
  <si>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</si>
  <si>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</si>
  <si>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</si>
  <si>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</si>
  <si>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</si>
  <si>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</si>
  <si>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</si>
  <si>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</si>
  <si>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</si>
  <si>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</si>
  <si>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</si>
  <si>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</si>
  <si>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</si>
  <si>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</si>
  <si>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</si>
  <si>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</si>
  <si>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</si>
  <si>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</si>
  <si>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No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</si>
  <si>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</si>
  <si>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</si>
  <si>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</si>
  <si>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</si>
  <si>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</si>
  <si>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</si>
  <si>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</si>
  <si>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</si>
  <si>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</si>
  <si>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</si>
  <si>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</si>
  <si>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</si>
  <si>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</si>
  <si>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</si>
  <si>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All Other</t>
  </si>
  <si>
    <t>Total Allocation by Object</t>
  </si>
  <si>
    <t>General Ed 
K-12</t>
  </si>
  <si>
    <t>Pre-K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</si>
  <si>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</si>
  <si>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</si>
  <si>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</si>
  <si>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</si>
  <si>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</si>
  <si>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</si>
  <si>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</si>
  <si>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</si>
  <si>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</si>
  <si>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</si>
  <si>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</si>
  <si>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</si>
  <si>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</si>
  <si>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</si>
  <si>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</si>
  <si>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</si>
  <si>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</si>
  <si>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</si>
  <si>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</si>
  <si>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</si>
  <si>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</si>
  <si>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</si>
  <si>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</si>
  <si>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</si>
  <si>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</si>
  <si>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</si>
  <si>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</si>
  <si>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</si>
  <si>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Grants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</si>
  <si>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</si>
  <si>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</si>
  <si>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</si>
  <si>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</si>
  <si>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</si>
  <si>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</si>
  <si>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</si>
  <si>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</si>
  <si>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</si>
  <si>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</si>
  <si>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</si>
  <si>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</si>
  <si>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</si>
  <si>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</si>
  <si>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</si>
  <si>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</si>
  <si>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</si>
  <si>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</si>
  <si>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</si>
  <si>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</si>
  <si>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</si>
  <si>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</si>
  <si>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</si>
  <si>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% Funded</t>
  </si>
  <si>
    <t>Total Funding (See Part C)</t>
  </si>
  <si>
    <t>Local Formula as % of Total Funding</t>
  </si>
  <si>
    <t>Other Funding</t>
  </si>
  <si>
    <t>Funding Source? F= Federal, SL= State/Local</t>
  </si>
  <si>
    <t>Amount Budgeted</t>
  </si>
  <si>
    <t>From 2020-21 Budget:</t>
  </si>
  <si>
    <t>Total General Fund</t>
  </si>
  <si>
    <t>Total Budget for:</t>
  </si>
  <si>
    <t>Total  Special Aid Fund</t>
  </si>
  <si>
    <t>Food Service Fund, without any Interfund Transfers Out</t>
  </si>
  <si>
    <t>Food Service Fund Interfund Transfers Out</t>
  </si>
  <si>
    <t>Debt Service Fund, without any Interfund Transfers Out</t>
  </si>
  <si>
    <t>Debt Service Fund Interfund Transfers Out</t>
  </si>
  <si>
    <t>2020-21</t>
  </si>
  <si>
    <t>A4</t>
  </si>
  <si>
    <t>B4</t>
  </si>
  <si>
    <t>B5</t>
  </si>
  <si>
    <t>B6</t>
  </si>
  <si>
    <t>B7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</si>
  <si>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</si>
  <si>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</si>
  <si>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</si>
  <si>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</si>
  <si>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</si>
  <si>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</si>
  <si>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</si>
  <si>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</si>
  <si>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</si>
  <si>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</si>
  <si>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</si>
  <si>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</si>
  <si>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E4</t>
  </si>
  <si>
    <t>E5</t>
  </si>
  <si>
    <t>F4</t>
  </si>
  <si>
    <t>F5</t>
  </si>
  <si>
    <t>F6</t>
  </si>
  <si>
    <t>F7</t>
  </si>
  <si>
    <t>Category for the Report</t>
  </si>
  <si>
    <t>For School -Level Budget Lines Only</t>
  </si>
  <si>
    <t>Fringe Benefit Codes</t>
  </si>
  <si>
    <t>Central Costs and Exclusions</t>
  </si>
  <si>
    <t>School-Level Appropriations by Building</t>
  </si>
  <si>
    <t>Codes: H, I, J, K</t>
  </si>
  <si>
    <t>Codes: B, C, E, F</t>
  </si>
  <si>
    <t>Code: Fringes</t>
  </si>
  <si>
    <t>Check</t>
  </si>
  <si>
    <t>Totals for General and Special Aid Funds</t>
  </si>
  <si>
    <t>Fund</t>
  </si>
  <si>
    <t>Food Service Fund</t>
  </si>
  <si>
    <t>Fill in ------&gt;</t>
  </si>
  <si>
    <t>Portion for Debt Service</t>
  </si>
  <si>
    <t>Portion for Transfer Out to Other Funds</t>
  </si>
  <si>
    <t>Debt Service Fund budget ( V ):</t>
  </si>
  <si>
    <t>Portion Funded with Federal funds</t>
  </si>
  <si>
    <t>SL</t>
  </si>
  <si>
    <t>Food Service Fund budget for ( C ):</t>
  </si>
  <si>
    <t>State &amp; Locally funded</t>
  </si>
  <si>
    <t>Federally funded</t>
  </si>
  <si>
    <t>Add Fringes:</t>
  </si>
  <si>
    <t>Community Services - Salaries</t>
  </si>
  <si>
    <t>Community Services - Non-Salaries</t>
  </si>
  <si>
    <t>Adult/Continuing Education - Salaries</t>
  </si>
  <si>
    <t>Adult/Continuing Education - Non-Salaries</t>
  </si>
  <si>
    <t>Transportation - Non-Salaries</t>
  </si>
  <si>
    <t>Services Provided to Charter Schools - Salaries</t>
  </si>
  <si>
    <t>Services Provided to Charter Schools - Non-Salaries</t>
  </si>
  <si>
    <t>Services Provided to Nonpublic Schools - Salaries</t>
  </si>
  <si>
    <t>Services Provided to Nonpublic Schools - Non-Salaries</t>
  </si>
  <si>
    <t>Student Count</t>
  </si>
  <si>
    <t>Board of Education - Salaries</t>
  </si>
  <si>
    <t>Board of Education - Non-Salaries</t>
  </si>
  <si>
    <t>Central Personnel - Salaries</t>
  </si>
  <si>
    <t>Central Personnel - Non-Salaries</t>
  </si>
  <si>
    <t>Operation and Maintenance of Plant - Salaries</t>
  </si>
  <si>
    <t>Operation and Maintenance of Plant - Non-Salaries</t>
  </si>
  <si>
    <t>Other Central Services - Salaries</t>
  </si>
  <si>
    <t>Other Central Services - Non-Salaries</t>
  </si>
  <si>
    <t>Enrollment Counts</t>
  </si>
  <si>
    <t>Total Staff (FTE Basis)</t>
  </si>
  <si>
    <t>Curriculum Development &amp; Supervision - Salaries</t>
  </si>
  <si>
    <t>Curriculum Development &amp; Supervision - Non-Salaries</t>
  </si>
  <si>
    <t>Research, Planning &amp; Evaluation - Salaries</t>
  </si>
  <si>
    <t>Research, Planning &amp; Evaluation - Non-Salaries</t>
  </si>
  <si>
    <t>In-Service Training - Salaries</t>
  </si>
  <si>
    <t>In-Service Training - Non-Salaries</t>
  </si>
  <si>
    <t>Committee on Special Education/Preschool Special Education - Salaries</t>
  </si>
  <si>
    <t>Committee on Special Education/Preschool Special Education -Non- Salaries</t>
  </si>
  <si>
    <t>Summer Programming and Services - Salaries</t>
  </si>
  <si>
    <t>Summer Programming and Services - Non-Salaries</t>
  </si>
  <si>
    <t>Other Districtwide Staff - Salaries</t>
  </si>
  <si>
    <t>Other Districtwide Staff - Non-Salaries</t>
  </si>
  <si>
    <t>D4</t>
  </si>
  <si>
    <t>D5</t>
  </si>
  <si>
    <t>PART A</t>
  </si>
  <si>
    <t>H1</t>
  </si>
  <si>
    <t>H2</t>
  </si>
  <si>
    <t>H3</t>
  </si>
  <si>
    <t>H4</t>
  </si>
  <si>
    <t>H5</t>
  </si>
  <si>
    <t xml:space="preserve">All Other </t>
  </si>
  <si>
    <t>I1</t>
  </si>
  <si>
    <t>I2</t>
  </si>
  <si>
    <t>J1</t>
  </si>
  <si>
    <t>J2</t>
  </si>
  <si>
    <t>L1</t>
  </si>
  <si>
    <t>L2</t>
  </si>
  <si>
    <t>School Level Costs:</t>
  </si>
  <si>
    <t>Salaries</t>
  </si>
  <si>
    <t>Non-Salaries</t>
  </si>
  <si>
    <t>Employee Benefits for School Level Costs</t>
  </si>
  <si>
    <t>General Education K-12 - Salaries</t>
  </si>
  <si>
    <t>General Education K-12 - Non-Salaries</t>
  </si>
  <si>
    <t xml:space="preserve"> Object of Appropriation Code: H</t>
  </si>
  <si>
    <t>Purpose of Appropriation Codes: I, J, K</t>
  </si>
  <si>
    <t>General Education Pre-K - Salaries</t>
  </si>
  <si>
    <t>General Education Pre-K - Non-Salaries</t>
  </si>
  <si>
    <t>Special Education K-12 - Salaries</t>
  </si>
  <si>
    <t>Special Education K-12 - Non-Salaries</t>
  </si>
  <si>
    <t>Special Education Pre-School - Salaries</t>
  </si>
  <si>
    <t>Special Education Pre-School - Non-Salaries</t>
  </si>
  <si>
    <t>Instructional Support- School Administation - Salaries</t>
  </si>
  <si>
    <t>Instructional Support- School Administation - Non-Salaries</t>
  </si>
  <si>
    <t>Instructional Support- Instructional Media - Salaries</t>
  </si>
  <si>
    <t>Instructional Support- Instructional Media -Non- Salaries</t>
  </si>
  <si>
    <t>Instructional Support - Pupil Support Services - Salaries</t>
  </si>
  <si>
    <t>Instructional Support - Pupil Support Services -Non- Salaries</t>
  </si>
  <si>
    <t>General Education K-12 - Fringes</t>
  </si>
  <si>
    <t>General Education Pre-K - Fringes</t>
  </si>
  <si>
    <t>Special Education Pre-School - Fringes</t>
  </si>
  <si>
    <t>Special Education K-12 - Fringes</t>
  </si>
  <si>
    <t>Instructional Support- School Administation - Fringes</t>
  </si>
  <si>
    <t>Instructional Support- Instructional Media - Fringes</t>
  </si>
  <si>
    <t>Instructional Support - Pupil Support Services - Fringes</t>
  </si>
  <si>
    <t>Totals by Object of Expense</t>
  </si>
  <si>
    <t>Totals by Purpose of Expenditures</t>
  </si>
  <si>
    <t>State and Locally Funded Fringes</t>
  </si>
  <si>
    <t>State and Locally Funded Non-Salaries</t>
  </si>
  <si>
    <t>State and Locally Funded Salaries</t>
  </si>
  <si>
    <t>Federally Funded Fringes</t>
  </si>
  <si>
    <t>Federally Funded Non-Salaries</t>
  </si>
  <si>
    <t>Federally Funded Salaries</t>
  </si>
  <si>
    <t>Total School-Level:</t>
  </si>
  <si>
    <t>Direct - from Data Form</t>
  </si>
  <si>
    <t>Fringes - Allocated</t>
  </si>
  <si>
    <t>School #7</t>
  </si>
  <si>
    <t>School #8</t>
  </si>
  <si>
    <t>School #9</t>
  </si>
  <si>
    <t>School #10</t>
  </si>
  <si>
    <t>School #11</t>
  </si>
  <si>
    <t>School #12</t>
  </si>
  <si>
    <t>School #13</t>
  </si>
  <si>
    <t>School #14</t>
  </si>
  <si>
    <t>School #15</t>
  </si>
  <si>
    <t>School #16</t>
  </si>
  <si>
    <t>School #17</t>
  </si>
  <si>
    <t>Total School-Level for Report:</t>
  </si>
  <si>
    <r>
      <rPr>
        <b/>
        <u/>
        <sz val="11"/>
        <color rgb="FFFF0000"/>
        <rFont val="Calibri"/>
        <family val="2"/>
        <scheme val="minor"/>
      </rPr>
      <t>Check</t>
    </r>
    <r>
      <rPr>
        <b/>
        <sz val="11"/>
        <color theme="1"/>
        <rFont val="Calibri"/>
        <family val="2"/>
        <scheme val="minor"/>
      </rPr>
      <t>: Should be:</t>
    </r>
  </si>
  <si>
    <t>If not the same, check coding in Column F of "Data Form" tab</t>
  </si>
  <si>
    <r>
      <t xml:space="preserve">If not the same, check coding in </t>
    </r>
    <r>
      <rPr>
        <b/>
        <sz val="11"/>
        <color rgb="FF0070C0"/>
        <rFont val="Calibri"/>
        <family val="2"/>
        <scheme val="minor"/>
      </rPr>
      <t>Column G</t>
    </r>
    <r>
      <rPr>
        <b/>
        <sz val="11"/>
        <color rgb="FFFF0000"/>
        <rFont val="Calibri"/>
        <family val="2"/>
        <scheme val="minor"/>
      </rPr>
      <t xml:space="preserve"> of "Data Form" tab</t>
    </r>
  </si>
  <si>
    <r>
      <t xml:space="preserve">If not the same, check coding in </t>
    </r>
    <r>
      <rPr>
        <b/>
        <sz val="11"/>
        <color rgb="FF0070C0"/>
        <rFont val="Calibri"/>
        <family val="2"/>
        <scheme val="minor"/>
      </rPr>
      <t>Column H</t>
    </r>
    <r>
      <rPr>
        <b/>
        <sz val="11"/>
        <color rgb="FFFF0000"/>
        <rFont val="Calibri"/>
        <family val="2"/>
        <scheme val="minor"/>
      </rPr>
      <t xml:space="preserve"> of "Data Form" tab</t>
    </r>
  </si>
  <si>
    <t>By Object of Expense:</t>
  </si>
  <si>
    <t>SCHOOL LEVEL APPROPRIATIONS</t>
  </si>
  <si>
    <t>By Purpose of Expense:</t>
  </si>
  <si>
    <t>By Funding Sources:</t>
  </si>
  <si>
    <t>Totals by Funding Sources</t>
  </si>
  <si>
    <r>
      <t xml:space="preserve">If </t>
    </r>
    <r>
      <rPr>
        <sz val="10"/>
        <color rgb="FFFF0000"/>
        <rFont val="Palatino Linotype"/>
        <family val="1"/>
      </rPr>
      <t>no</t>
    </r>
    <r>
      <rPr>
        <b/>
        <sz val="10"/>
        <color theme="1"/>
        <rFont val="Palatino Linotype"/>
        <family val="1"/>
      </rPr>
      <t>, is this school opening this school year? (Y/N)</t>
    </r>
  </si>
  <si>
    <t xml:space="preserve">Check: </t>
  </si>
  <si>
    <t>Should be:</t>
  </si>
  <si>
    <t>Per Totals Entered on Summary Data Part A Tab</t>
  </si>
  <si>
    <t>Check:</t>
  </si>
  <si>
    <t>Should Equal</t>
  </si>
  <si>
    <t>Part A Format tab</t>
  </si>
  <si>
    <t>Charter School Tuition - Salaries</t>
  </si>
  <si>
    <t>Charter School Tuition - Non-Salaries</t>
  </si>
  <si>
    <t>Other School Districts (Excl. Special Act Districts) - Salaries</t>
  </si>
  <si>
    <t>Other School Districts (Excl. Special Act Districts) - Non-Salaries</t>
  </si>
  <si>
    <t>Prekindergarten Community-Based Organizations - Salaries</t>
  </si>
  <si>
    <t>Prekindergarten Community-Based Organizations -Non-Salaries</t>
  </si>
  <si>
    <t>BOCES Instructional Programs (Full-time Only) - Salaries</t>
  </si>
  <si>
    <t>BOCES Instructional Programs (Full-time Only) - Non-Salaries</t>
  </si>
  <si>
    <t>SWD School Age-School Year Tuition - Salaries</t>
  </si>
  <si>
    <t>SWD School Age-School Year Tuition - Non-Salaries</t>
  </si>
  <si>
    <t>SWD Early Intervention Program Tuition - Salaries</t>
  </si>
  <si>
    <t>SWD Early Intervention Program Tuition - Non-Salaries</t>
  </si>
  <si>
    <t>SWD - Preschool Education (§4410) Tuition - Salaries</t>
  </si>
  <si>
    <t>SWD - Preschool Education (§4410) Tuition - Non-Salaries</t>
  </si>
  <si>
    <t>SWD - Summer Education (§4408) Tuition - Salaries</t>
  </si>
  <si>
    <t>SWD - Summer Education (§4408) Tuition - Non-Salaries</t>
  </si>
  <si>
    <t>State-Supported Schools for the Blind &amp; Deaf (§4201) Tuition - Salaries</t>
  </si>
  <si>
    <t>State-Supported Schools for the Blind &amp; Deaf (§4201) Tuition - Non-Salaries</t>
  </si>
  <si>
    <t>Should equal</t>
  </si>
  <si>
    <r>
      <t xml:space="preserve">Should equal </t>
    </r>
    <r>
      <rPr>
        <b/>
        <sz val="11"/>
        <color theme="1"/>
        <rFont val="Calibri"/>
        <family val="2"/>
        <scheme val="minor"/>
      </rPr>
      <t>Data Form</t>
    </r>
    <r>
      <rPr>
        <sz val="11"/>
        <color theme="1"/>
        <rFont val="Calibri"/>
        <family val="2"/>
        <scheme val="minor"/>
      </rPr>
      <t xml:space="preserve"> tab Grand Total</t>
    </r>
  </si>
  <si>
    <t>Less: Exclusions:</t>
  </si>
  <si>
    <t>Amount Distributed on Part C</t>
  </si>
  <si>
    <t>Note: Previous submissions have almost always been answered</t>
  </si>
  <si>
    <t>"No".  If your district does allocate funds based on a formal locally</t>
  </si>
  <si>
    <t>implemented formula, you would answer "Yes" and complete the grid.</t>
  </si>
  <si>
    <t>Otherwise, note "No" and no further work in necessary.</t>
  </si>
  <si>
    <r>
      <rPr>
        <sz val="11"/>
        <color rgb="FFFF0000"/>
        <rFont val="Calibri"/>
        <family val="2"/>
        <scheme val="minor"/>
      </rPr>
      <t>Check:</t>
    </r>
    <r>
      <rPr>
        <sz val="11"/>
        <color theme="1"/>
        <rFont val="Calibri"/>
        <family val="2"/>
        <scheme val="minor"/>
      </rPr>
      <t xml:space="preserve"> There should not be any numbers in the grey shaded lines of this section. If there are, please check coding in Columns D/ E on Data Form tab    </t>
    </r>
  </si>
  <si>
    <t>Instructions: Fill in the light blue cells in column F below:</t>
  </si>
  <si>
    <t>FRINGE BENEFITS</t>
  </si>
  <si>
    <t>Instructions: Fill in the amount budgeted for Retiree Benefits as part of the total fringe benefit budget</t>
  </si>
  <si>
    <t>K-12 and Pre-K</t>
  </si>
  <si>
    <t>DATA FORM FOR 2020-21 BUDGET</t>
  </si>
  <si>
    <t>Portion Funded with State &amp; Local funds:</t>
  </si>
  <si>
    <t>All budget codes without Interfund Transfers</t>
  </si>
  <si>
    <t>Should equal:</t>
  </si>
  <si>
    <t>From Part A Format</t>
  </si>
  <si>
    <t>from Line F36</t>
  </si>
  <si>
    <t>If need additional lines, please add above this line</t>
  </si>
  <si>
    <t>(Fill in Columns E - H with codes from Transparency Coding guidance)</t>
  </si>
  <si>
    <t>(Copy General and Special Aid budgets without totals  in Columns A, B and I)</t>
  </si>
  <si>
    <t>(Check your totals - do they agree?)</t>
  </si>
  <si>
    <t>Debt Service Fund</t>
  </si>
  <si>
    <t>Categories for Data Form:</t>
  </si>
  <si>
    <t>S</t>
  </si>
  <si>
    <t>Fringes</t>
  </si>
  <si>
    <t>General Category</t>
  </si>
  <si>
    <t>Object</t>
  </si>
  <si>
    <t>Purpose</t>
  </si>
  <si>
    <t>Funding</t>
  </si>
  <si>
    <t>For All Budget Lines</t>
  </si>
  <si>
    <t>Other Funds:</t>
  </si>
  <si>
    <t>Enrollment:--&gt;</t>
  </si>
  <si>
    <t>Percentage of the Total Enrollment (See note*) --&gt;</t>
  </si>
  <si>
    <t>&lt;---*Optional:  For use with the lines that have not been budgeted by building and which could be allocated based on enrollment.</t>
  </si>
  <si>
    <r>
      <t>Portion of Retiree Benefits Paid for with Medicare Part D subsidy -</t>
    </r>
    <r>
      <rPr>
        <b/>
        <sz val="14"/>
        <color theme="1"/>
        <rFont val="Calibri"/>
        <family val="2"/>
        <scheme val="minor"/>
      </rPr>
      <t xml:space="preserve"> FILL IN----&gt;</t>
    </r>
  </si>
  <si>
    <t>Other Expenses for Pupils in Non-Traditional Settings</t>
  </si>
  <si>
    <t>Other Expenses for Pupils in Non-Traditional Settings - Salaries</t>
  </si>
  <si>
    <t>Other Expenses for Pupils in Non-Traditional Settings - Non-Salaries</t>
  </si>
  <si>
    <t>C13</t>
  </si>
  <si>
    <t>Line 88--&gt;</t>
  </si>
  <si>
    <t>Line 88 --&gt;</t>
  </si>
  <si>
    <t>Line 85 --&gt;</t>
  </si>
  <si>
    <t>&lt;-- Line 56</t>
  </si>
  <si>
    <t>Add: Retiree Insurance</t>
  </si>
  <si>
    <r>
      <rPr>
        <u/>
        <sz val="12"/>
        <color rgb="FFFF0000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THE PASSWORD TO UNPROTECT THE INDIVIDUAL TABS IS "SAP", IN CASE YOU NEED TO ADD MORE ROWS OR COLUMNS</t>
    </r>
  </si>
  <si>
    <t>FURN REPL DISTRICT</t>
  </si>
  <si>
    <t xml:space="preserve">A 2110.451-20-2021 </t>
  </si>
  <si>
    <t xml:space="preserve">A 2610.453-90-1500 </t>
  </si>
  <si>
    <t>TEXTBOOKS MUSIC HS</t>
  </si>
  <si>
    <t>SOCIAL WORKER SVCS (Pashely)</t>
  </si>
  <si>
    <t xml:space="preserve">A 2110.449-10-0600 </t>
  </si>
  <si>
    <t>SOCIAL SECURITY</t>
  </si>
  <si>
    <t>DRIVER PHYSICALS</t>
  </si>
  <si>
    <t>RESOURCE MATL MIDDLE SCHL</t>
  </si>
  <si>
    <t>SPEC ED TEACHER SALARY (High School)</t>
  </si>
  <si>
    <t>A 2110.120-30-9800</t>
  </si>
  <si>
    <t>COMPUTER SUPL CH HTS</t>
  </si>
  <si>
    <t>TECHNOLOGY STAFF SALARIES (Pashley)</t>
  </si>
  <si>
    <t xml:space="preserve">A 2250.451-20-2027 </t>
  </si>
  <si>
    <t>COMPUTER SUPPLIES</t>
  </si>
  <si>
    <t>GEN SUPPL SUPERINTENDENT</t>
  </si>
  <si>
    <t>LIB &amp; AUD VIS CH HGHTS</t>
  </si>
  <si>
    <t>A 1620.162-50-9905</t>
  </si>
  <si>
    <t>SOCIAL WORKER SVCS (Stevens)</t>
  </si>
  <si>
    <t xml:space="preserve">A 1240.431-90-0200 </t>
  </si>
  <si>
    <t>NEW EQUIP ART HS</t>
  </si>
  <si>
    <t>CH1 PROF SAL BHBL 19-20 (1A)</t>
  </si>
  <si>
    <t>PERIODICALS STEVENS</t>
  </si>
  <si>
    <t>A 2020.161-10-9900</t>
  </si>
  <si>
    <t xml:space="preserve">A 2815.451-90-0700 </t>
  </si>
  <si>
    <t>A 1620.403-90-8100</t>
  </si>
  <si>
    <t>TRS TO LUNCH PASHLEY</t>
  </si>
  <si>
    <t>Library Clerical Salary - Extra Time (PA)</t>
  </si>
  <si>
    <t xml:space="preserve">A 2110.480-10-1900 </t>
  </si>
  <si>
    <t>HEAT</t>
  </si>
  <si>
    <t xml:space="preserve">A 2610.202-10-1500 </t>
  </si>
  <si>
    <t>GEN SUPPL SCIENCE MS</t>
  </si>
  <si>
    <t>A 2110.162-30-9903</t>
  </si>
  <si>
    <t>GEN SUPPL SPEC SERVICES (Middle School)</t>
  </si>
  <si>
    <t>TAX COLLECTOR SALARY</t>
  </si>
  <si>
    <t>A 2110.451-60-1422</t>
  </si>
  <si>
    <t>MEDIA MATL SWIMMING</t>
  </si>
  <si>
    <t>Pupil Supervision (Teacher) - High School</t>
  </si>
  <si>
    <t>CH1 PURCH SERV BHBL 20-21 (1D)</t>
  </si>
  <si>
    <t>A 2250.150-50-9900</t>
  </si>
  <si>
    <t>TRASH REMOVAL</t>
  </si>
  <si>
    <t>TRAVEL  CONF PHYS ED (IN &amp; OUT OF DISTRICT)</t>
  </si>
  <si>
    <t>BLDG MAINT HIGH SCHOOL</t>
  </si>
  <si>
    <t>A 2810.160-10-9900</t>
  </si>
  <si>
    <t xml:space="preserve">A 1670.451-90-0800 </t>
  </si>
  <si>
    <t>A 2610.160-10-9900</t>
  </si>
  <si>
    <t xml:space="preserve">A 2110.445-20-2000 </t>
  </si>
  <si>
    <t>A 2810.150-20-9800</t>
  </si>
  <si>
    <t>TEXTBOOKS CURRICULUM (Middle School)</t>
  </si>
  <si>
    <t>DISTRICT CURRIC DEVELOP</t>
  </si>
  <si>
    <t>IDEA 611 SUP &amp; MAT 20-21</t>
  </si>
  <si>
    <t>FCH1 HEALTH INS BENEFITS BHBL 20-21 (1D)</t>
  </si>
  <si>
    <t>INSTRUCTIONAL SEPARATION/BENEFITS/Incentives</t>
  </si>
  <si>
    <t xml:space="preserve">A 2630.451-50-5000 </t>
  </si>
  <si>
    <t>TEST SUPPL MS</t>
  </si>
  <si>
    <t>A 2630.150-10-9900</t>
  </si>
  <si>
    <t>A 2250.150-30-9900</t>
  </si>
  <si>
    <t xml:space="preserve">A 1380.460-90-0400 </t>
  </si>
  <si>
    <t>A 2110.140-60-9800</t>
  </si>
  <si>
    <t>A 2010.161-90-9500</t>
  </si>
  <si>
    <t>A 2250.150-60-9900</t>
  </si>
  <si>
    <t>K-5 MONITOR &amp; AIDE SALARY (Pashley)</t>
  </si>
  <si>
    <t>A 2250.150-20-9800</t>
  </si>
  <si>
    <t xml:space="preserve">A 2815.160-90-9900 </t>
  </si>
  <si>
    <t>GUIDANCE CLERICAL SALARY (High School)</t>
  </si>
  <si>
    <t>INSTRUCT SUPPL PASHLEY</t>
  </si>
  <si>
    <t>A 2010.135-90-9700</t>
  </si>
  <si>
    <t>TUTORING (CONTRACTUAL)</t>
  </si>
  <si>
    <t>PROF REFERENCE LIBRARY</t>
  </si>
  <si>
    <t xml:space="preserve">A 2110.202-20-1819 </t>
  </si>
  <si>
    <t>Security Extra Time-Pashley</t>
  </si>
  <si>
    <t xml:space="preserve">A 2110.451-60-6000 </t>
  </si>
  <si>
    <t xml:space="preserve">A 5530.448-90-8100 </t>
  </si>
  <si>
    <t>Clerical Extra Time - High School</t>
  </si>
  <si>
    <t>EQUIP REPAIR CH HGTS</t>
  </si>
  <si>
    <t>Middle School CLER, MON, SECURITY &amp; TA SUB SALARY</t>
  </si>
  <si>
    <t>A 2020.160-30-9900</t>
  </si>
  <si>
    <t xml:space="preserve">A 5510.811-90-9000 </t>
  </si>
  <si>
    <t xml:space="preserve">A 1630.454-90-8100 </t>
  </si>
  <si>
    <t>A 2855.157-10-9600</t>
  </si>
  <si>
    <t>BLDG DEBT BANS PRINCIPLE</t>
  </si>
  <si>
    <t>A 2825.436-30-0700</t>
  </si>
  <si>
    <t>SPEC ED TEACHER SALARY - Additional Pay (Pashley)</t>
  </si>
  <si>
    <t>COMPUTER EQUIPMENT (Pashley)</t>
  </si>
  <si>
    <t xml:space="preserve">A 1630.453-90-8100 </t>
  </si>
  <si>
    <t>TEXTBOOKS MUSIC MS</t>
  </si>
  <si>
    <t>TEXTBOOKS AIS MS</t>
  </si>
  <si>
    <t>AIS TEACHER SALARY (Stevens)</t>
  </si>
  <si>
    <t xml:space="preserve">A 2110.202-30-3000 </t>
  </si>
  <si>
    <t>MAINTENANCE OVERTIME</t>
  </si>
  <si>
    <t xml:space="preserve">A 2110.457-20-1817 </t>
  </si>
  <si>
    <t xml:space="preserve">A 7140.150-90-9600 </t>
  </si>
  <si>
    <t>A 2020.161-60-9900</t>
  </si>
  <si>
    <t xml:space="preserve">A 2110.439-90-1422 </t>
  </si>
  <si>
    <t>A 2110.451-60-1412</t>
  </si>
  <si>
    <t xml:space="preserve">A 5510.220-90-8200 </t>
  </si>
  <si>
    <t>HANDICAP TUITION (PUBLIC SCHOOLS)</t>
  </si>
  <si>
    <t>A 2610.160-20-9900</t>
  </si>
  <si>
    <t>TEACHER ASSISTANTS SALARY (High School)</t>
  </si>
  <si>
    <t xml:space="preserve">A 1420.160-90-0400 </t>
  </si>
  <si>
    <t xml:space="preserve">A 2110.452-20-2028 </t>
  </si>
  <si>
    <t xml:space="preserve">A 2110.451-90-1422 </t>
  </si>
  <si>
    <t>PRINTING HS</t>
  </si>
  <si>
    <t>TEACHER ASSISTANTS SALARY (Stevens)</t>
  </si>
  <si>
    <t>A 1620.449-90-8100</t>
  </si>
  <si>
    <t>Library Clerical Salary - Extra Time (MS)</t>
  </si>
  <si>
    <t xml:space="preserve">A 2610.455-20-1500 </t>
  </si>
  <si>
    <t xml:space="preserve">A 1430.445-90-0500 </t>
  </si>
  <si>
    <t>NEW EQUIP STEVENS</t>
  </si>
  <si>
    <t>CH1 PURCH SERV KETCHUM 18-19 (1D)</t>
  </si>
  <si>
    <t xml:space="preserve">A 2110.202-20-2000 </t>
  </si>
  <si>
    <t xml:space="preserve">A 2070.431-60-6000 </t>
  </si>
  <si>
    <t>SAFETY &amp; SECURITY SUPPLIES</t>
  </si>
  <si>
    <t>SUPPLIES 6-12 SUMMER SCHL</t>
  </si>
  <si>
    <t>KINDERGTN TEACHER SALARY (Stevens)</t>
  </si>
  <si>
    <t>TECHNOLOGY STAFF SALARIES - Extra Time (MS)</t>
  </si>
  <si>
    <t xml:space="preserve">A 1330.160-90-9600 </t>
  </si>
  <si>
    <t>A 2630.460-10-1900</t>
  </si>
  <si>
    <t>TEACHER ASSISTANTS SALARY (Middle School)</t>
  </si>
  <si>
    <t>COMPUTER EQUIPMENT (Charlton Heights)</t>
  </si>
  <si>
    <t xml:space="preserve">A 2020.431-90-0600 </t>
  </si>
  <si>
    <t>TRANSPORTATION SUPERVISOR OFFICE</t>
  </si>
  <si>
    <t xml:space="preserve">A 2610.457-30-1500 </t>
  </si>
  <si>
    <t xml:space="preserve">A 1640.448-30-8100 </t>
  </si>
  <si>
    <t>BOCES - CENTRAL DATA PROCESSING</t>
  </si>
  <si>
    <t xml:space="preserve">A 2110.201-10-1900 </t>
  </si>
  <si>
    <t>BOCES - RESEARCH, PLANNING &amp; EVALUATION</t>
  </si>
  <si>
    <t>TRAVEL CONF PERSONNEL</t>
  </si>
  <si>
    <t>GEN SUPPL PHYS ED (Pashley)</t>
  </si>
  <si>
    <t>SOCIAL WORKER SVCS (Middle School)</t>
  </si>
  <si>
    <t>GEN SUPPL MUSIC MS</t>
  </si>
  <si>
    <t>A 2250.150-50-9905</t>
  </si>
  <si>
    <t>LIBRARY CLERICAL SALARY (Middle School)</t>
  </si>
  <si>
    <t xml:space="preserve">A 2110.202-20-1422 </t>
  </si>
  <si>
    <t>A 2110.111-50-9800</t>
  </si>
  <si>
    <t>RESOURCE MATL CH HGHTS</t>
  </si>
  <si>
    <t>SUMMER TUITION 4408 JUL/AUG</t>
  </si>
  <si>
    <t>A 2250.150-30-9800</t>
  </si>
  <si>
    <t xml:space="preserve">A 2110.445-50-5000 </t>
  </si>
  <si>
    <t>A 5510.162-90-9900</t>
  </si>
  <si>
    <t>IDEA 611 PURCH SVC 20-21</t>
  </si>
  <si>
    <t>FCH1 SOC SEC BENEFITS KETCHUM 20-21 (1D)</t>
  </si>
  <si>
    <t>NEW EQUIP SPEC SERVICES</t>
  </si>
  <si>
    <t>SCHOOL RESOURCE OFFICER</t>
  </si>
  <si>
    <t>A 2250.151-50-9800</t>
  </si>
  <si>
    <t>SUBSTANCE TEST</t>
  </si>
  <si>
    <t>ADMIN SUPPL CH HGTS</t>
  </si>
  <si>
    <t>MEDIA MATL CURRICULUM</t>
  </si>
  <si>
    <t xml:space="preserve">A 5510.201-90-8200 </t>
  </si>
  <si>
    <t>EQUIP REPAIR FACS</t>
  </si>
  <si>
    <t xml:space="preserve">A 2110.480-10-1813 </t>
  </si>
  <si>
    <t>GEN SUPPL LIBRARY</t>
  </si>
  <si>
    <t>TEXTBOOKS ENGLISH MS</t>
  </si>
  <si>
    <t>A 2330.150-90-9800</t>
  </si>
  <si>
    <t>TEXTBOOKS PASHLEY</t>
  </si>
  <si>
    <t>TEXTBOOKS MUSIC ELEM STEVENS</t>
  </si>
  <si>
    <t>TEXTBOOKS FACS HS</t>
  </si>
  <si>
    <t xml:space="preserve">A 2110.480-20-2015 </t>
  </si>
  <si>
    <t xml:space="preserve">A 2020.451-50-5000 </t>
  </si>
  <si>
    <t>Library Clerical Salary - Extra Time (HS)</t>
  </si>
  <si>
    <t>INSTRUCTIONAL PROGRAMS</t>
  </si>
  <si>
    <t>TRAVEL CONF ADMIN PASHLEY</t>
  </si>
  <si>
    <t>A 2250.472-90-0700</t>
  </si>
  <si>
    <t xml:space="preserve">A 2110.457-20-1819 </t>
  </si>
  <si>
    <t xml:space="preserve">A 2610.457-60-1500 </t>
  </si>
  <si>
    <t>MEDIA MATL SOC STUDIES HS</t>
  </si>
  <si>
    <t xml:space="preserve">A 2110.451-20-2000 </t>
  </si>
  <si>
    <t>BLDG DEBT INT BOND</t>
  </si>
  <si>
    <t xml:space="preserve">A 2110.445-30-3000 </t>
  </si>
  <si>
    <t>GEN SUPPL MUSIC DISTRICT</t>
  </si>
  <si>
    <t>ELEM PRIN SAL (Charlton Heights)</t>
  </si>
  <si>
    <t xml:space="preserve">A 2810.451-10-1926 </t>
  </si>
  <si>
    <t xml:space="preserve">A 9711.710-90-9100 </t>
  </si>
  <si>
    <t>COACHING SALARY</t>
  </si>
  <si>
    <t>MEDIA MATL STEVENS</t>
  </si>
  <si>
    <t>A 2630.451-90-7000</t>
  </si>
  <si>
    <t xml:space="preserve">A 2110.452-10-1928 </t>
  </si>
  <si>
    <t xml:space="preserve">A 2110.222-60-6000 </t>
  </si>
  <si>
    <t>A 2110.153-20-9900</t>
  </si>
  <si>
    <t>ADULT ED CONTRACTUAL (Printing &amp; Vendors)</t>
  </si>
  <si>
    <t>A 2630.201-10-1900</t>
  </si>
  <si>
    <t>A 2610.460-10-1500</t>
  </si>
  <si>
    <t>K-5 CLERICAL SALARY (Charlton Heights)</t>
  </si>
  <si>
    <t xml:space="preserve">A 2110.202-20-1412 </t>
  </si>
  <si>
    <t>SOCIAL WORKER SALARIES (High School)</t>
  </si>
  <si>
    <t>A 2110.161-60-9900</t>
  </si>
  <si>
    <t>A 1620.160-20-9900</t>
  </si>
  <si>
    <t>CUSTODIAN SALARY (Pashley)</t>
  </si>
  <si>
    <t>SPORTS OFFICIALS/TIMEKEEPER</t>
  </si>
  <si>
    <t xml:space="preserve">A 2630.451-60-6000 </t>
  </si>
  <si>
    <t>A 2825.436-10-0700</t>
  </si>
  <si>
    <t>GEN SUPPL TAX COLLECTOR</t>
  </si>
  <si>
    <t>OFC SUPPL BUS GARAGE</t>
  </si>
  <si>
    <t>COMPUTER SUPPL PASHLEY</t>
  </si>
  <si>
    <t xml:space="preserve">A 2110.451-20-1820 </t>
  </si>
  <si>
    <t xml:space="preserve">A 8070.160-90-9600 </t>
  </si>
  <si>
    <t>GEN SUPPL INST MS</t>
  </si>
  <si>
    <t>A 2110.120-50-9805</t>
  </si>
  <si>
    <t>TRASH &amp; SNOW REMOVAL</t>
  </si>
  <si>
    <t>A 2110.162-20-9902</t>
  </si>
  <si>
    <t>LAUNDRY, DRY CLEAN MOPS</t>
  </si>
  <si>
    <t>CH1 SUPPLIES KETCHUM 19-20 (1D)</t>
  </si>
  <si>
    <t xml:space="preserve">A 5530.161-90-9900 </t>
  </si>
  <si>
    <t>GEN SUPPL NURSES (High School)</t>
  </si>
  <si>
    <t>GEN SUPPL ENL MS</t>
  </si>
  <si>
    <t>SUPT OFFICE NON-INST SALARY</t>
  </si>
  <si>
    <t>EQUIP REPL MS</t>
  </si>
  <si>
    <t xml:space="preserve">A 2110.457-10-1915 </t>
  </si>
  <si>
    <t>Pupil Supervision (Teacher) - Charlton Heights</t>
  </si>
  <si>
    <t xml:space="preserve">A 2110.451-10-1900 </t>
  </si>
  <si>
    <t xml:space="preserve">A 2855.451-90-1600 </t>
  </si>
  <si>
    <t xml:space="preserve">A 2110.451-20-2023 </t>
  </si>
  <si>
    <t xml:space="preserve">A 2110.480-20-2016 </t>
  </si>
  <si>
    <t>A 2330.451-90-1300</t>
  </si>
  <si>
    <t>A 2110.110-50-9800</t>
  </si>
  <si>
    <t xml:space="preserve">A 2110.448-90-1422 </t>
  </si>
  <si>
    <t xml:space="preserve">A 1240.451-90-0200 </t>
  </si>
  <si>
    <t>TRAVEL CONF SPEC SERVICES</t>
  </si>
  <si>
    <t xml:space="preserve">A 2110.498-30-1100 </t>
  </si>
  <si>
    <t xml:space="preserve">A 2070.431-30-3000 </t>
  </si>
  <si>
    <t xml:space="preserve">A 2110.451-10-1921 </t>
  </si>
  <si>
    <t>A 2110.153-10-9900</t>
  </si>
  <si>
    <t>GEN SUPPL FACS MS</t>
  </si>
  <si>
    <t xml:space="preserve">A 1620.402-90-8100 </t>
  </si>
  <si>
    <t>PROGRAM DEVEL STEVENS</t>
  </si>
  <si>
    <t>MEDIA MATL PHYS ED</t>
  </si>
  <si>
    <t xml:space="preserve">A 2855.150-90-9800 </t>
  </si>
  <si>
    <t>OTHER EXPENSE MS</t>
  </si>
  <si>
    <t>GEN SUPPL INT SCH</t>
  </si>
  <si>
    <t>TEXTBOOKS CURRICULUM (Stevens)</t>
  </si>
  <si>
    <t>A 2822.150-10-9800</t>
  </si>
  <si>
    <t>A 2110.480-60-1422</t>
  </si>
  <si>
    <t>IDEA 619 SUP &amp; MAT 20-21</t>
  </si>
  <si>
    <t xml:space="preserve">Charlton Heights CLER, MON, SECURITY &amp; TA SUB SALARY </t>
  </si>
  <si>
    <t>CONTRACT TRANS - ACADEMIC TRIPS (MUSIC)</t>
  </si>
  <si>
    <t>TESTING SUPPLIES SPEC SERVICES</t>
  </si>
  <si>
    <t>TRAVEL CONF CH HTS</t>
  </si>
  <si>
    <t>DUPL SUPPL STEVENS</t>
  </si>
  <si>
    <t xml:space="preserve">A 2110.457-20-1412 </t>
  </si>
  <si>
    <t>A 2250.451-50-0700</t>
  </si>
  <si>
    <t xml:space="preserve">A 1630.447-90-8100 </t>
  </si>
  <si>
    <t>A 2610.490-90-1100</t>
  </si>
  <si>
    <t>A 5510.448-90-8200</t>
  </si>
  <si>
    <t>ARTS IN ED HIGH SCHOOL</t>
  </si>
  <si>
    <t>GRNDS MAINT STEVENS</t>
  </si>
  <si>
    <t>Special Education Clerical Salary - additional pay</t>
  </si>
  <si>
    <t>A 2110.121-60-9800</t>
  </si>
  <si>
    <t>A 1430.161-90-9500</t>
  </si>
  <si>
    <t>FCH1 HEALTH INS BENEFITS KETCHUM 20-21 (1D)</t>
  </si>
  <si>
    <t>A 2110.448-10-1819</t>
  </si>
  <si>
    <t>EQUIP REPAIR PHYS ED (High School)</t>
  </si>
  <si>
    <t>A 1630.202-90-8100</t>
  </si>
  <si>
    <t>DUPL SUPP CH HGTS</t>
  </si>
  <si>
    <t xml:space="preserve">A 5510.452-90-8200 </t>
  </si>
  <si>
    <t xml:space="preserve">High School CLER, MON, SECURITY &amp; TA SUB SALARY </t>
  </si>
  <si>
    <t>INSTRUCT SUPPL STEVENS</t>
  </si>
  <si>
    <t>GEN SUPPL ELEM MUSIC CH</t>
  </si>
  <si>
    <t>A 2110.140-20-9802</t>
  </si>
  <si>
    <t xml:space="preserve">AUTO PARTS </t>
  </si>
  <si>
    <t>Pupil Supervision (Teacher) - Stevens</t>
  </si>
  <si>
    <t xml:space="preserve">A 9060.834-90-9000 </t>
  </si>
  <si>
    <t>Custodial Extra Time - Middle School</t>
  </si>
  <si>
    <t>Nurse Extra Time - High School</t>
  </si>
  <si>
    <t>TECHNOLOGY STAFF SALARIES (Middle School)</t>
  </si>
  <si>
    <t>E-BOOKS CH HGHTS</t>
  </si>
  <si>
    <t>FURN REPL STEVENS</t>
  </si>
  <si>
    <t>GEN SUPPL CURRICULUM</t>
  </si>
  <si>
    <t xml:space="preserve">A 2110.201-10-1422 </t>
  </si>
  <si>
    <t>Nurse Extra Time - Pashley</t>
  </si>
  <si>
    <t>A 2110.448-10-1820</t>
  </si>
  <si>
    <t>SPEC ED TEACHER ASSISTANTS SALARY (Pashley)</t>
  </si>
  <si>
    <t>A 5510.405-90-8200</t>
  </si>
  <si>
    <t>A 2250.201-90-0700</t>
  </si>
  <si>
    <t>A 2610.160-20-9908</t>
  </si>
  <si>
    <t>E-BOOKS STEVENS</t>
  </si>
  <si>
    <t>AIS TEACHER SALARY (Charlton Heights)</t>
  </si>
  <si>
    <t>TRAVEL CONF ADMIN HS</t>
  </si>
  <si>
    <t>A 1430.160-90-9500</t>
  </si>
  <si>
    <t xml:space="preserve">A 2110.451-10-1422 </t>
  </si>
  <si>
    <t>STATE AIDED HARDWARE (Middle School)</t>
  </si>
  <si>
    <t>COMP SOFTWARE/APPS BUS ED HS</t>
  </si>
  <si>
    <t>A 2810.150-10-9800</t>
  </si>
  <si>
    <t>CUSTODIAN SALARY</t>
  </si>
  <si>
    <t>A 1310.490-90-1100</t>
  </si>
  <si>
    <t>BOCES - BOARD OF EDUCATION</t>
  </si>
  <si>
    <t>CH1 SUPP &amp; MAT KETCHUM 17-18</t>
  </si>
  <si>
    <t>A 2630.460-90-7000</t>
  </si>
  <si>
    <t xml:space="preserve">A 2110.444-90-0600 </t>
  </si>
  <si>
    <t>A 2110.202-50-1422</t>
  </si>
  <si>
    <t>TRS TO LUNCH MIDDLE SCHOOL</t>
  </si>
  <si>
    <t>Clerical Extra Time-Stevens</t>
  </si>
  <si>
    <t xml:space="preserve">A 2815.436-90-0700 </t>
  </si>
  <si>
    <t>PUBLIC SCHOOL TUITION (REGULAR ED)</t>
  </si>
  <si>
    <t xml:space="preserve">A 2110.222-90-0600 </t>
  </si>
  <si>
    <t>WORKER COMP INS TRANS</t>
  </si>
  <si>
    <t>GASOLINE MAINTENANCE</t>
  </si>
  <si>
    <t>SPEC ED TEACHER DEPARTMENT HEADS</t>
  </si>
  <si>
    <t>SPEC ED TEACHER ASSISTANTS SALARY (High School)</t>
  </si>
  <si>
    <t xml:space="preserve">A 2610.451-90-1500 </t>
  </si>
  <si>
    <t>TECHNOLOGY STAFF SALARIES</t>
  </si>
  <si>
    <t>TEXTBOOKS SOC STUDIES HS</t>
  </si>
  <si>
    <t xml:space="preserve">A 2110.452-30-3000 </t>
  </si>
  <si>
    <t>6-12 MONITOR &amp; AIDE SAL (High School)</t>
  </si>
  <si>
    <t>A 1983.496-90-1100</t>
  </si>
  <si>
    <t>A 2855.448-90-1600</t>
  </si>
  <si>
    <t>A 2250.150-10-9900</t>
  </si>
  <si>
    <t xml:space="preserve">A 2110.498-50-1100 </t>
  </si>
  <si>
    <t>FCH1 SOC SEC BENEFITS BHBL 20-21 (1D)</t>
  </si>
  <si>
    <t>GEN SUPPL SCIENCE HS</t>
  </si>
  <si>
    <t>COMPUTER SERV CONTRACTS</t>
  </si>
  <si>
    <t xml:space="preserve">A 2610.160-90-9900 </t>
  </si>
  <si>
    <t>CH1 SUPP &amp; MAT KETCHUM 16-17</t>
  </si>
  <si>
    <t xml:space="preserve">A 1320.160-90-9900 </t>
  </si>
  <si>
    <t>PERIODICALS CHARLTON HGTS</t>
  </si>
  <si>
    <t>CUSTODIAL/MAINTANCE CONTRACTUAL EXPENS</t>
  </si>
  <si>
    <t>Substitute Teacher (School Business) -Pashley</t>
  </si>
  <si>
    <t>TEXTBOOKS CURRICULUM (High School)</t>
  </si>
  <si>
    <t xml:space="preserve">A 1620.400-90-8100 </t>
  </si>
  <si>
    <t>Substitute Teacher (School Business) - Middle School</t>
  </si>
  <si>
    <t>BUS DRIVER/MONITOR SUB SALARY</t>
  </si>
  <si>
    <t>TECHNOLOGY STAFF SALARIES (Charlton Heights)</t>
  </si>
  <si>
    <t>A 1310.161-90-9500</t>
  </si>
  <si>
    <t>HEAT VENT SUPPLY</t>
  </si>
  <si>
    <t xml:space="preserve">A 2110.451-10-1412 </t>
  </si>
  <si>
    <t>MEDICAL, DENTAL INSURANCE (Retirees)</t>
  </si>
  <si>
    <t>A 2855.160-90-9600</t>
  </si>
  <si>
    <t>STATE AIDED HARDWARE (Stevens)</t>
  </si>
  <si>
    <t>TRAVEL CONF PASHLEY</t>
  </si>
  <si>
    <t>CH1 PURCH SERV KETCHUM 20-21 (1D)</t>
  </si>
  <si>
    <t xml:space="preserve">A 1910.412-90-0900 </t>
  </si>
  <si>
    <t>A 2020.167-50-9905</t>
  </si>
  <si>
    <t>A 2110.451-20-2016</t>
  </si>
  <si>
    <t>TECHNOLOGY STAFF SALARIES - Extra Time (ST)</t>
  </si>
  <si>
    <t xml:space="preserve">A 2110.201-60-6000 </t>
  </si>
  <si>
    <t>A 2250.150-90-9800</t>
  </si>
  <si>
    <t>CH1 PROF SAL BHBL (PA) 20-21 (1A)</t>
  </si>
  <si>
    <t>TITLE IV PROF SAL (PA) 20-21</t>
  </si>
  <si>
    <t>Custodial Extra Time-Stevens</t>
  </si>
  <si>
    <t xml:space="preserve">A 2630.451-30-3022 </t>
  </si>
  <si>
    <t>Security Extra Time - Stevens</t>
  </si>
  <si>
    <t>EQUIP REPAIR PASHLEY</t>
  </si>
  <si>
    <t>A 2330.160-90-9800</t>
  </si>
  <si>
    <t>NEW EQUIPMENT MAINT</t>
  </si>
  <si>
    <t>BUS DRIVER/MONITOR EXTRA SALARIES</t>
  </si>
  <si>
    <t>A 2250.151-20-9800</t>
  </si>
  <si>
    <t>A 2020.160-50-9905</t>
  </si>
  <si>
    <t>TRAVEL CONF MS</t>
  </si>
  <si>
    <t xml:space="preserve">A 9731.610-90-9100 </t>
  </si>
  <si>
    <t>A 2020.160-20-9900</t>
  </si>
  <si>
    <t>KINDERGTN TEACHER SALARY (Pashley)</t>
  </si>
  <si>
    <t>A 2110.448-10-1700</t>
  </si>
  <si>
    <t>Security Extra Time - Middle School</t>
  </si>
  <si>
    <t xml:space="preserve">A 2270.480-20-2027 </t>
  </si>
  <si>
    <t>BOCES - OPERATION OF PLANT</t>
  </si>
  <si>
    <t>GEN SUPPL SPEC SERVICES (Pashley)</t>
  </si>
  <si>
    <t>Stevens TEACHER PAY - Additional</t>
  </si>
  <si>
    <t>A 2020.160-60-9900</t>
  </si>
  <si>
    <t>A 2630.150-30-9907</t>
  </si>
  <si>
    <t>A 1640.449-30-8100</t>
  </si>
  <si>
    <t>BOCES ARTS IN EDUCATION</t>
  </si>
  <si>
    <t>MEDIA MATL CH HGHTS</t>
  </si>
  <si>
    <t>A 2815.400-90-0600</t>
  </si>
  <si>
    <t>RADIO, PHONE, TRANSPORT</t>
  </si>
  <si>
    <t xml:space="preserve">A 2110.498-50-5000 </t>
  </si>
  <si>
    <t xml:space="preserve">A 2110.432-90-0600 </t>
  </si>
  <si>
    <t>PRINTING RECORDS</t>
  </si>
  <si>
    <t>GEN SUPPL TECH MS</t>
  </si>
  <si>
    <t>GEN SUPPL MATH MS</t>
  </si>
  <si>
    <t>GEN SUPPL ENGLISH</t>
  </si>
  <si>
    <t xml:space="preserve">A 2110.498-10-1100 </t>
  </si>
  <si>
    <t xml:space="preserve">A 1630.452-90-8100 </t>
  </si>
  <si>
    <t>A 1670.441-90-0800</t>
  </si>
  <si>
    <t xml:space="preserve">A 2010.457-90-0600 </t>
  </si>
  <si>
    <t>EQUIP REPAIR CURRICULUM</t>
  </si>
  <si>
    <t xml:space="preserve">A 1320.430-90-0400 </t>
  </si>
  <si>
    <t>A 2630.150-20-9900</t>
  </si>
  <si>
    <t>EQUIP REPL ART MS</t>
  </si>
  <si>
    <t xml:space="preserve">A 2825.457-10-1819 </t>
  </si>
  <si>
    <t>1-5 TEACHER SALARY (Charlton Heights)</t>
  </si>
  <si>
    <t>Teacher Assistant Extra Time (Charlton Heights)</t>
  </si>
  <si>
    <t xml:space="preserve">A 2110.457-90-1700 </t>
  </si>
  <si>
    <t xml:space="preserve">A 2280.490-90-1100 </t>
  </si>
  <si>
    <t>BOCES OCC ED TUITION</t>
  </si>
  <si>
    <t xml:space="preserve">A 2610.455-50-1500 </t>
  </si>
  <si>
    <t>A 5510.490-90-1100</t>
  </si>
  <si>
    <t>LIB &amp; AUD VIS PASHLEY</t>
  </si>
  <si>
    <t>FINGERPRINTING</t>
  </si>
  <si>
    <t xml:space="preserve">A 5530.162-90-9900 </t>
  </si>
  <si>
    <t>LEAD TESTING &amp; REMEDIATION</t>
  </si>
  <si>
    <t>ADULT ED TEACHER SALARIES</t>
  </si>
  <si>
    <t xml:space="preserve">A 1630.451-90-8100 </t>
  </si>
  <si>
    <t xml:space="preserve">A 2855.400-90-1600 </t>
  </si>
  <si>
    <t>A 2630.150-90-9907</t>
  </si>
  <si>
    <t>A 2110.202-60-1422</t>
  </si>
  <si>
    <t>A 1620.435-90-8100</t>
  </si>
  <si>
    <t>A 1460.490-90-1100</t>
  </si>
  <si>
    <t>TEXTBOOKS BUS ED HS</t>
  </si>
  <si>
    <t>Clerical Extra Time - Facilities Use</t>
  </si>
  <si>
    <t>A 2110.401-20-2000</t>
  </si>
  <si>
    <t>STATE AIDED SOFTWARE (High School)</t>
  </si>
  <si>
    <t>TEXTBOOKS STEVENS</t>
  </si>
  <si>
    <t>TEXTBOOKS MS</t>
  </si>
  <si>
    <t>TEXTBOOKS CH HGTS</t>
  </si>
  <si>
    <t xml:space="preserve">A 1640.448-50-8100 </t>
  </si>
  <si>
    <t>A 2020.167-30-9900</t>
  </si>
  <si>
    <t>A 2110.121-50-9800</t>
  </si>
  <si>
    <t>A 2110.164-10-9900</t>
  </si>
  <si>
    <t>MEDICAL, DENTAL INSURANCE</t>
  </si>
  <si>
    <t>LOCAL MINI GRANTS PASHLEY</t>
  </si>
  <si>
    <t>STATE AIDED HARDWARE (Charlton Heights)</t>
  </si>
  <si>
    <t>GEN SUPPL SOC STUDIES HS</t>
  </si>
  <si>
    <t>A 2110.201-30-1422</t>
  </si>
  <si>
    <t>BUILDING SUPPLIES</t>
  </si>
  <si>
    <t>STATE AIDED HARDWARE (High School)</t>
  </si>
  <si>
    <t>A 2815.451-20-0700</t>
  </si>
  <si>
    <t>A 2250.150-30-9903</t>
  </si>
  <si>
    <t>A 1680.490-90-1100</t>
  </si>
  <si>
    <t xml:space="preserve">A 1330.451-90-0400 </t>
  </si>
  <si>
    <t xml:space="preserve">A 2110.454-20-2000 </t>
  </si>
  <si>
    <t>EQUIP REPL PASHLEY</t>
  </si>
  <si>
    <t>EQUIP REPAIR PHYS ED (Charlton Heights)</t>
  </si>
  <si>
    <t>CONTRACT SVCE SPEC SERV</t>
  </si>
  <si>
    <t>UTILITIES (HEAT, LIGHTS) TRANSPORTATION</t>
  </si>
  <si>
    <t>LIBRARIAN SALARY (High School)</t>
  </si>
  <si>
    <t>BOCES CAPITAL &amp;  RENT</t>
  </si>
  <si>
    <t>STAFF DEVELOP CLERICAL</t>
  </si>
  <si>
    <t>BOCES HANDICAPPED TUITION</t>
  </si>
  <si>
    <t>A 2110.480-20-0600</t>
  </si>
  <si>
    <t>MEDIA SUPPL CURRICULUM</t>
  </si>
  <si>
    <t>Pashley KINDERGTN TEACHER PAY - Additional</t>
  </si>
  <si>
    <t>A 2610.160-60-9908</t>
  </si>
  <si>
    <t>A 2815.160-10-9901</t>
  </si>
  <si>
    <t>A 2630.461-20-0600</t>
  </si>
  <si>
    <t>STATE AIDED SOFTWARE</t>
  </si>
  <si>
    <t>GUIDANCE COUNSELOR SALARY (Middle School)</t>
  </si>
  <si>
    <t>BOCES ARTS IN ED HS</t>
  </si>
  <si>
    <t>COMPUTER SUPL STEVENS</t>
  </si>
  <si>
    <t xml:space="preserve">A 1981.496-90-1100 </t>
  </si>
  <si>
    <t>6-12 TEACHER SALARY (High School)</t>
  </si>
  <si>
    <t>COMPUTER EQUIP INSTRUCT</t>
  </si>
  <si>
    <t>PROGRAM DEVEL MS</t>
  </si>
  <si>
    <t xml:space="preserve">A 2110.480-10-1819 </t>
  </si>
  <si>
    <t>Pupil Supervision (Teacher) - Pashley</t>
  </si>
  <si>
    <t>STAFF DEVEL, MAINT</t>
  </si>
  <si>
    <t>A 2020.160-30-9903</t>
  </si>
  <si>
    <t>A 1620.160-50-9900</t>
  </si>
  <si>
    <t>TRAVEL CONF ADMIN MS</t>
  </si>
  <si>
    <t xml:space="preserve">A 2610.456-20-1500 </t>
  </si>
  <si>
    <t>A 2825.436-60-0700</t>
  </si>
  <si>
    <t>CH1 SUPP &amp; MAT KETCHUM 18-19 (1D)</t>
  </si>
  <si>
    <t>DUPLICATION (CONTRACTUAL)</t>
  </si>
  <si>
    <t>A 2250.150-10-9800</t>
  </si>
  <si>
    <t xml:space="preserve">A 2610.456-30-1500 </t>
  </si>
  <si>
    <t>IDEA 611 PROF SAL 20-21 (HS)</t>
  </si>
  <si>
    <t>A 2110.451-10-1700</t>
  </si>
  <si>
    <t>A 2110.140-30-9803</t>
  </si>
  <si>
    <t>SPEC ED TEACHER SALARY (Stevens)</t>
  </si>
  <si>
    <t>A 2630.461-10-0600</t>
  </si>
  <si>
    <t>A 2110.131-10-9800</t>
  </si>
  <si>
    <t>A 2110.480-10-0600</t>
  </si>
  <si>
    <t xml:space="preserve">A 2110.403-90-0600 </t>
  </si>
  <si>
    <t>FIRE INSURANCE</t>
  </si>
  <si>
    <t>ANNUAL MEETING SALARIES</t>
  </si>
  <si>
    <t xml:space="preserve">A 5510.834-90-9000 </t>
  </si>
  <si>
    <t>A 2815.160-20-9902</t>
  </si>
  <si>
    <t>CDS SUPPL SUMMER 2020</t>
  </si>
  <si>
    <t>A 2610.150-50-9800</t>
  </si>
  <si>
    <t xml:space="preserve">A 2610.455-10-1500 </t>
  </si>
  <si>
    <t>GEN SUPPL ART MS</t>
  </si>
  <si>
    <t xml:space="preserve">A 2110.222-10-1900 </t>
  </si>
  <si>
    <t>BOCES - INSERVICE TRAINING (INSTRUCTION)</t>
  </si>
  <si>
    <t>BUS DRIVER/MONITOR SALARY</t>
  </si>
  <si>
    <t>A 2815.451-10-0700</t>
  </si>
  <si>
    <t>CH1 SUPP &amp; MAT BHBL 20-21 (1A)</t>
  </si>
  <si>
    <t>Special Education Contract Service Providers</t>
  </si>
  <si>
    <t xml:space="preserve">A 2610.457-50-1500 </t>
  </si>
  <si>
    <t xml:space="preserve">A 2630.150-90-9900 </t>
  </si>
  <si>
    <t xml:space="preserve">A 1310.451-90-0300 </t>
  </si>
  <si>
    <t>DIST STAFF DEVELOPMENT</t>
  </si>
  <si>
    <t>A 2250.445-90-0700</t>
  </si>
  <si>
    <t>LIBRARIAN SALARY (Pashley)</t>
  </si>
  <si>
    <t>MECHANIC SALARY</t>
  </si>
  <si>
    <t>REFUND REAL PROPERTY TAXES</t>
  </si>
  <si>
    <t>Teacher Assistant Extra Time (Stevens)</t>
  </si>
  <si>
    <t>A 2020.160-10-9900</t>
  </si>
  <si>
    <t xml:space="preserve">A 2110.480-10-1422 </t>
  </si>
  <si>
    <t>A 2020.160-60-9906</t>
  </si>
  <si>
    <t>A 2825.436-20-0700</t>
  </si>
  <si>
    <t>A 2020.167-60-9900</t>
  </si>
  <si>
    <t>EQUIP REPL MUSIC ELEM PASHLEY</t>
  </si>
  <si>
    <t xml:space="preserve">A 2110.451-50-5000 </t>
  </si>
  <si>
    <t>A 2810.160-20-9900</t>
  </si>
  <si>
    <t>A 2850.150-90-9600</t>
  </si>
  <si>
    <t>NON-PUBLIC TUITION (REGULAR ED)</t>
  </si>
  <si>
    <t>A 2610.459-10-1500</t>
  </si>
  <si>
    <t>A 2110.120-60-9806</t>
  </si>
  <si>
    <t>A 2630.460-50-5000</t>
  </si>
  <si>
    <t xml:space="preserve">A 2110.441-90-0600 </t>
  </si>
  <si>
    <t xml:space="preserve">A 1240.445-90-0200 </t>
  </si>
  <si>
    <t xml:space="preserve">A 2110.448-30-3000 </t>
  </si>
  <si>
    <t xml:space="preserve">SAFETY SUPPLIES (CARES ACT) </t>
  </si>
  <si>
    <t>TRS TO LUNCH CHARLTON HGTS</t>
  </si>
  <si>
    <t>A 2250.152-90-9800</t>
  </si>
  <si>
    <t>A 2270.150-50-9800</t>
  </si>
  <si>
    <t xml:space="preserve">A 2250.491-90-1100 </t>
  </si>
  <si>
    <t xml:space="preserve">BOCES - SCHOOL LIBRARY &amp; AUDIO VISUAL </t>
  </si>
  <si>
    <t>Substitute Teacher (School Business) -Stevens</t>
  </si>
  <si>
    <t>TRAVEL CONF BUSINESS OFC</t>
  </si>
  <si>
    <t>STATE AIDED SOFTWARE (Stevens)</t>
  </si>
  <si>
    <t>A 2020.160-10-9901</t>
  </si>
  <si>
    <t>A 2110.130-20-9802</t>
  </si>
  <si>
    <t xml:space="preserve">A 1310.431-90-0300 </t>
  </si>
  <si>
    <t>A 2020.167-50-9900</t>
  </si>
  <si>
    <t>SEC PRIN &amp; ASST PRIN SAL (Middle School)</t>
  </si>
  <si>
    <t>Security Extra Time - Charlton Heights</t>
  </si>
  <si>
    <t>IDEA 611 PROF SAL 20-21 (MS)</t>
  </si>
  <si>
    <t xml:space="preserve">A 2010.448-90-0600 </t>
  </si>
  <si>
    <t>PROGRAM DEVEL CH HTS</t>
  </si>
  <si>
    <t xml:space="preserve">A 5540.440-90-8200 </t>
  </si>
  <si>
    <t xml:space="preserve">A 1620.202-90-8100 </t>
  </si>
  <si>
    <t>A 1430.490-90-1100</t>
  </si>
  <si>
    <t xml:space="preserve">A 2110.480-10-1820 </t>
  </si>
  <si>
    <t>TRAVEL IN DIST CURRICULUM</t>
  </si>
  <si>
    <t xml:space="preserve">A 2110.451-10-1925 </t>
  </si>
  <si>
    <t>CLEANER HOURS (TRANSPORTATION ONLY)</t>
  </si>
  <si>
    <t>A 2610.460-30-1500</t>
  </si>
  <si>
    <t>ADMIN ASSISTANTS SALARY (Charlton Heights)</t>
  </si>
  <si>
    <t>A 2110.451-60-1700</t>
  </si>
  <si>
    <t>A 2815.451-50-0700</t>
  </si>
  <si>
    <t xml:space="preserve">A 5510.431-90-8200 </t>
  </si>
  <si>
    <t>SOCIAL WORKER SVCS (High School)</t>
  </si>
  <si>
    <t>K-5 CLERICAL SALARY (Stevens)</t>
  </si>
  <si>
    <t>OTHER EXP CURRICULUM</t>
  </si>
  <si>
    <t>A 1630.161-90-9900</t>
  </si>
  <si>
    <t>AUDIT SERVICE</t>
  </si>
  <si>
    <t>NEW EQUIP MUSIC MS</t>
  </si>
  <si>
    <t>A 2110.480-50-1422</t>
  </si>
  <si>
    <t>CUSTODIAL SUB SALARY</t>
  </si>
  <si>
    <t>GEN SUPPL SPEC SERVICES</t>
  </si>
  <si>
    <t>A 2610.460-60-1500</t>
  </si>
  <si>
    <t>A 5510.166-90-9900</t>
  </si>
  <si>
    <t>MEDIA MATL LANGUAGE HS</t>
  </si>
  <si>
    <t>A 2630.201-50-5000</t>
  </si>
  <si>
    <t>SUPT OFFICE SALARY</t>
  </si>
  <si>
    <t>MEDIA MATL MUSIC MS</t>
  </si>
  <si>
    <t xml:space="preserve">A 2110.404-90-0600 </t>
  </si>
  <si>
    <t>BOCES - PUBLIC INFORMATION &amp; SERVICES</t>
  </si>
  <si>
    <t>MATH MANIPULATIVES PASH</t>
  </si>
  <si>
    <t xml:space="preserve">A 1240.160-90-9500 </t>
  </si>
  <si>
    <t>HEALTH INSURE TRANSPORT</t>
  </si>
  <si>
    <t xml:space="preserve">A 1910.414-90-0900 </t>
  </si>
  <si>
    <t>Charlton Heights TEACHER PAY - Additional</t>
  </si>
  <si>
    <t xml:space="preserve">A 2110.201-10-1412 </t>
  </si>
  <si>
    <t>SUMMER SCHOOL SALARY</t>
  </si>
  <si>
    <t>IDEA 619 SUPPORT SAL 20-21</t>
  </si>
  <si>
    <t xml:space="preserve">A 1640.448-60-8100 </t>
  </si>
  <si>
    <t>GEN SUPPL TECH HS</t>
  </si>
  <si>
    <t>A 2610.160-50-9908</t>
  </si>
  <si>
    <t>TECHNOLOGY STAFF SALARIES - Extra Time (CH)</t>
  </si>
  <si>
    <t>CDS SUPP SAL SUMMER 2020</t>
  </si>
  <si>
    <t>WATER USE CHARGE</t>
  </si>
  <si>
    <t>K-12 ACADEMIC DEPARTMENT HEADS &amp; SUPERVISORS</t>
  </si>
  <si>
    <t xml:space="preserve">A 2330.451-90-1200 </t>
  </si>
  <si>
    <t xml:space="preserve">A 2010.454-90-0600 </t>
  </si>
  <si>
    <t>Extra-Curricular Compensation</t>
  </si>
  <si>
    <t>GEN SUPPL ART Pashley</t>
  </si>
  <si>
    <t>FURN REPL CH HGTS</t>
  </si>
  <si>
    <t>EQUIP REPL FACS MS</t>
  </si>
  <si>
    <t>Custodial Extra Time - Charlton Heights</t>
  </si>
  <si>
    <t>A 2330.480-90-1300</t>
  </si>
  <si>
    <t>RESOURCE MATL PASHLEY</t>
  </si>
  <si>
    <t>A 2020.160-20-9902</t>
  </si>
  <si>
    <t xml:space="preserve">A 2110.451-10-1817 </t>
  </si>
  <si>
    <t>A 2815.160-10-9900</t>
  </si>
  <si>
    <t>CUSTODIAL SUPPLIES BUS GARAGE</t>
  </si>
  <si>
    <t>A 1620.160-60-9900</t>
  </si>
  <si>
    <t>TEXTBOOKS SCIENCE MS</t>
  </si>
  <si>
    <t>A 1060.400-90-0100</t>
  </si>
  <si>
    <t>A 2110.448-50-1700</t>
  </si>
  <si>
    <t xml:space="preserve">A 2110.480-10-1915 </t>
  </si>
  <si>
    <t>GEN SUPPL HEALTH HS</t>
  </si>
  <si>
    <t>A 2020.150-50-9700</t>
  </si>
  <si>
    <t>EQUIP REPAIR, CUSTODIAL</t>
  </si>
  <si>
    <t>EQUIP REPL BUS ED HS</t>
  </si>
  <si>
    <t>PRINTING/LAMINATING/SCANNING CONTRACTUAL</t>
  </si>
  <si>
    <t>6-12 CLERICAL SALARY (High School)</t>
  </si>
  <si>
    <t>A 2610.459-20-1500</t>
  </si>
  <si>
    <t>MECHANIC OVERTIME</t>
  </si>
  <si>
    <t>EQUIP REPL HANDICAP</t>
  </si>
  <si>
    <t xml:space="preserve">A 2110.451-10-1819 </t>
  </si>
  <si>
    <t>GEN SUPPL HS</t>
  </si>
  <si>
    <t>EQUIP REPL FACS HS</t>
  </si>
  <si>
    <t xml:space="preserve">A 9901.930-50-9300 </t>
  </si>
  <si>
    <t>IDEA 611 PROF SAL 20-21 (PA)</t>
  </si>
  <si>
    <t>A 2020.150-60-9700</t>
  </si>
  <si>
    <t xml:space="preserve">A 2110.480-60-6000 </t>
  </si>
  <si>
    <t xml:space="preserve">A 1920.402-90-1600 </t>
  </si>
  <si>
    <t>NEW EQUIP CUSTODIAL</t>
  </si>
  <si>
    <t>A 2110.140-50-9805</t>
  </si>
  <si>
    <t>A 2250.451-90-0700</t>
  </si>
  <si>
    <t>NEW FURN STEVENS</t>
  </si>
  <si>
    <t>GEN SUPPL ART Stevens</t>
  </si>
  <si>
    <t>TEXTBOOKS LANG MS</t>
  </si>
  <si>
    <t>A 2855.401-90-1600</t>
  </si>
  <si>
    <t>A 1430.441-90-0500</t>
  </si>
  <si>
    <t xml:space="preserve">A 2110.445-60-6000 </t>
  </si>
  <si>
    <t xml:space="preserve">A 2020.150-90-0600 </t>
  </si>
  <si>
    <t xml:space="preserve">A 1920.403-90-0600 </t>
  </si>
  <si>
    <t>GRNDS SUPL MAINT DISTRICT</t>
  </si>
  <si>
    <t>K-5 CLERICAL SALARY (Pashley)</t>
  </si>
  <si>
    <t>TRAVEL CONF HS</t>
  </si>
  <si>
    <t>A 2250.471-90-0700</t>
  </si>
  <si>
    <t xml:space="preserve">A 1640.449-10-8100 </t>
  </si>
  <si>
    <t xml:space="preserve">A 5510.815-90-9000 </t>
  </si>
  <si>
    <t xml:space="preserve">A 2110.202-60-6000 </t>
  </si>
  <si>
    <t>GEN SUPPL SPEC SERVICES (Stevens)</t>
  </si>
  <si>
    <t>CDS INSTR SAL SUMMER 2020</t>
  </si>
  <si>
    <t>A 2110.448-20-2000</t>
  </si>
  <si>
    <t xml:space="preserve">A 2110.450-10-1930 </t>
  </si>
  <si>
    <t>High School TEACHER PAY - Additional</t>
  </si>
  <si>
    <t xml:space="preserve">A 5510.453-90-8200 </t>
  </si>
  <si>
    <t xml:space="preserve">A 2610.455-30-1500 </t>
  </si>
  <si>
    <t>TEXTBOOKS CURRICULUM (Charlton Heights)</t>
  </si>
  <si>
    <t>GENERAL CUST SUPPLIES</t>
  </si>
  <si>
    <t xml:space="preserve">Administrative Assistant Extra Time-Stevens
</t>
  </si>
  <si>
    <t>Middle School SUB TEACHER SALARY</t>
  </si>
  <si>
    <t>LIBRARIAN SALARY (Charlton Heights)</t>
  </si>
  <si>
    <t>A 2020.135-90-9700</t>
  </si>
  <si>
    <t xml:space="preserve">A 2110.480-20-2023 </t>
  </si>
  <si>
    <t>DUPL SUPPL HS</t>
  </si>
  <si>
    <t xml:space="preserve">A 2110.480-50-5000 </t>
  </si>
  <si>
    <t>A 2110.451-50-1700</t>
  </si>
  <si>
    <t xml:space="preserve">A 1640.448-20-8100 </t>
  </si>
  <si>
    <t>BOCES DATA PROCESSING</t>
  </si>
  <si>
    <t>PROGRAM DEVEL HS</t>
  </si>
  <si>
    <t>A 1620.162-10-9901</t>
  </si>
  <si>
    <t>SPEC ED TEACHER ASSISTANTS SALARY (Charlton Heights)</t>
  </si>
  <si>
    <t>A 5510.447-90-8200</t>
  </si>
  <si>
    <t xml:space="preserve">A 1950.400-90-1000 </t>
  </si>
  <si>
    <t>CUSTODIAN SALARY (High School)</t>
  </si>
  <si>
    <t>SECURITY CAMERAS/SAFETY EQUIPMENT</t>
  </si>
  <si>
    <t>ADMIN ASSISTANTS SALARY (Pashley)</t>
  </si>
  <si>
    <t xml:space="preserve">A 2110.448-10-1928 </t>
  </si>
  <si>
    <t>LIBRARY CLERICAL SALARY (High School)</t>
  </si>
  <si>
    <t>MEMBERSHIPS INT SCH</t>
  </si>
  <si>
    <t>EQUIP REPL STEVENS</t>
  </si>
  <si>
    <t>GRNDS MAINT DISTRICT</t>
  </si>
  <si>
    <t xml:space="preserve">A 1620.451-90-8199 </t>
  </si>
  <si>
    <t>Nurse Extra Time-Stevens</t>
  </si>
  <si>
    <t>Pashley K-5 SUB TEACHER SALARY</t>
  </si>
  <si>
    <t>MEDIA &amp; MUSIC AIDE SALARY (High School)</t>
  </si>
  <si>
    <t>EQUIP REPAIR PHYS ED (Pashley)</t>
  </si>
  <si>
    <t>GEN SUPPL MATH HS</t>
  </si>
  <si>
    <t>SPEC ED TEACHER SALARY - Additional Pay (Stevens)</t>
  </si>
  <si>
    <t>SPEC ED TEACHER ASSISTANTS SALARY (Middle School)</t>
  </si>
  <si>
    <t>BOCES - RECORDS MANAGEMENT</t>
  </si>
  <si>
    <t>A 2250.150-10-9901</t>
  </si>
  <si>
    <t>ADVERTISING/FINGERPRINTING PERSONNEL</t>
  </si>
  <si>
    <t>EQUIP REPL ART HS</t>
  </si>
  <si>
    <t>A 2270.150-30-9800</t>
  </si>
  <si>
    <t>GUIDANCE COUNSELOR SALARY (High School)</t>
  </si>
  <si>
    <t>Library Clerical Salary - Extra Time (CH)</t>
  </si>
  <si>
    <t>A 2630.150-60-9907</t>
  </si>
  <si>
    <t>A 2110.401-50-5000</t>
  </si>
  <si>
    <t>CURR OFF NON-INSTRUCTIONAL SALARY</t>
  </si>
  <si>
    <t>SPEC ED TEACHER SALARY (Charlton Heights)</t>
  </si>
  <si>
    <t>A 1620.162-20-9902</t>
  </si>
  <si>
    <t xml:space="preserve">A 2110.494-90-1100 </t>
  </si>
  <si>
    <t xml:space="preserve">A 2250.451-10-1927 </t>
  </si>
  <si>
    <t>CH1 PURCH SERV KETCHUM 19-20 (1D)</t>
  </si>
  <si>
    <t>DISTRICT MEMBERSHIPS</t>
  </si>
  <si>
    <t>A 2630.150-30-9900</t>
  </si>
  <si>
    <t>ADMIN SUPPL PASHLEY</t>
  </si>
  <si>
    <t>A 2110.162-10-9901</t>
  </si>
  <si>
    <t>TEXTBOOKS FACS MS</t>
  </si>
  <si>
    <t>6-12 TEACHER SALARY (Middle School)</t>
  </si>
  <si>
    <t>EQUIP REPL LIB MS</t>
  </si>
  <si>
    <t>EQUIP REPL MUSIC ELEM STEVENS</t>
  </si>
  <si>
    <t>BLDG MAINT STEVENS</t>
  </si>
  <si>
    <t>TECHNOLOGY STAFF SALARIES - Extra Time (PA)</t>
  </si>
  <si>
    <t>DISTRICT MEETING CONTRACTUAL</t>
  </si>
  <si>
    <t>EQUIP REPL MEDIA</t>
  </si>
  <si>
    <t>A 2330.160-90-9900</t>
  </si>
  <si>
    <t>GEN SUPPL PHYS ED (High School)</t>
  </si>
  <si>
    <t>COMPUTER SOFTWARE DIST</t>
  </si>
  <si>
    <t>A 2020.150-20-9700</t>
  </si>
  <si>
    <t>A 2815.160-60-9906</t>
  </si>
  <si>
    <t xml:space="preserve">A 1640.449-90-8100 </t>
  </si>
  <si>
    <t>TRAVEL IN DIST WORK STUDY</t>
  </si>
  <si>
    <t>EQUIP REPL TECH HS</t>
  </si>
  <si>
    <t>BUS OFFICE CONTRACTUAL/COURIER MILEAGE</t>
  </si>
  <si>
    <t>A 2250.150-20-9900</t>
  </si>
  <si>
    <t>A 2250.160-90-9900</t>
  </si>
  <si>
    <t>A 2110.153-50-9900</t>
  </si>
  <si>
    <t>TRAVEL CONF STEVENS</t>
  </si>
  <si>
    <t xml:space="preserve">A 1630.455-90-8100 </t>
  </si>
  <si>
    <t xml:space="preserve">A 1240.100-90-9500 </t>
  </si>
  <si>
    <t xml:space="preserve">A 1964.405-90-1000 </t>
  </si>
  <si>
    <t>A 2630.150-60-9900</t>
  </si>
  <si>
    <t>STATE AIDED SOFTWARE (Pashley)</t>
  </si>
  <si>
    <t>A 5510.161-90-9900</t>
  </si>
  <si>
    <t xml:space="preserve">A 2110.430-60-6000 </t>
  </si>
  <si>
    <t xml:space="preserve">A 1620.413-90-0900 </t>
  </si>
  <si>
    <t>A 2815.160-60-9900</t>
  </si>
  <si>
    <t>A 2110.162-20-9900</t>
  </si>
  <si>
    <t xml:space="preserve">A 2020.451-60-6000 </t>
  </si>
  <si>
    <t>SPEC ED TEACHER SALARY - Additional Pay (Charlton Heights)</t>
  </si>
  <si>
    <t>A 9951.900-90-8100</t>
  </si>
  <si>
    <t>A 2110.120-30-9803</t>
  </si>
  <si>
    <t>TEXTBOOKS MATH HS</t>
  </si>
  <si>
    <t xml:space="preserve">A 2110.480-10-1925 </t>
  </si>
  <si>
    <t xml:space="preserve">Pashley CLER, MON, SECURITY &amp; TA SUB SALARY 
</t>
  </si>
  <si>
    <t>IDEA 611 SUPPORT SAL 20-21</t>
  </si>
  <si>
    <t>A 1310.441-90-0300</t>
  </si>
  <si>
    <t>BUS OFFICE EXTRA TIME</t>
  </si>
  <si>
    <t>DUPL SUPPL PASHLEY</t>
  </si>
  <si>
    <t xml:space="preserve">A 1420.430-90-0400 </t>
  </si>
  <si>
    <t>A 2110.162-10-9900</t>
  </si>
  <si>
    <t>BID ADVERTISING/LEGAL NOTICES</t>
  </si>
  <si>
    <t>A 2110.161-30-9900</t>
  </si>
  <si>
    <t>ADMIN SUPPL STEVENS</t>
  </si>
  <si>
    <t xml:space="preserve">A 2020.445-90-0600 </t>
  </si>
  <si>
    <t>Pashley TEACHER PAY - Additional</t>
  </si>
  <si>
    <t>HUMAN RESOURCE OFFICE SALARY</t>
  </si>
  <si>
    <t>SPECIAL ASSESSMENTS</t>
  </si>
  <si>
    <t>A 2110.444-90-1700</t>
  </si>
  <si>
    <t>A 2110.120-50-9800</t>
  </si>
  <si>
    <t>EQUIP REPL DISTRICT MAINT</t>
  </si>
  <si>
    <t>COMPUTER SOFTWARE/APPS SPED</t>
  </si>
  <si>
    <t>TECHNOLOGY STAFF SALARIES - Extra Time</t>
  </si>
  <si>
    <t xml:space="preserve">A 9711.610-90-9100 </t>
  </si>
  <si>
    <t>A 2610.160-90-9908</t>
  </si>
  <si>
    <t>A 5510.403-90-8200</t>
  </si>
  <si>
    <t>A 2630.490-90-1100</t>
  </si>
  <si>
    <t>A 2110.110-30-9800</t>
  </si>
  <si>
    <t>A 2020.161-30-9900</t>
  </si>
  <si>
    <t>HEALTH &amp; SAFETY CONTRACTUAL</t>
  </si>
  <si>
    <t>A 2630.150-50-9900</t>
  </si>
  <si>
    <t xml:space="preserve">A 2070.431-50-5000 </t>
  </si>
  <si>
    <t>TEXTBOOKS ENGLISH HS</t>
  </si>
  <si>
    <t>GEN SUPPL FACS HS</t>
  </si>
  <si>
    <t>A 2610.459-50-1500</t>
  </si>
  <si>
    <t xml:space="preserve">A 2855.202-90-1600 </t>
  </si>
  <si>
    <t>GEN SUPPL ART Charlton Heights</t>
  </si>
  <si>
    <t xml:space="preserve">A 1620.445-90-8100 </t>
  </si>
  <si>
    <t>A 2630.150-10-9907</t>
  </si>
  <si>
    <t>GEN SUPPL BUSINESS OFC</t>
  </si>
  <si>
    <t>A 2110.140-20-9800</t>
  </si>
  <si>
    <t>Credit Hour Reimbursement/Other Contractual</t>
  </si>
  <si>
    <t>6-12 CLERICAL SALARY (Middle School)</t>
  </si>
  <si>
    <t>INSTRUCT SUPPL CH HGTS</t>
  </si>
  <si>
    <t>EQUIP REPAIR BUS ED HS</t>
  </si>
  <si>
    <t>A 2630.150-50-9907</t>
  </si>
  <si>
    <t>GRNDS MAINT MIDDLE SCHOOL</t>
  </si>
  <si>
    <t>Nurse Extra Time - Middle School</t>
  </si>
  <si>
    <t>STATE AIDED SOFTWARE (Middle School)</t>
  </si>
  <si>
    <t>A 2250.451-60-0700</t>
  </si>
  <si>
    <t xml:space="preserve">A 9050.800-90-9000 </t>
  </si>
  <si>
    <t>EQUIP REPAIR STEVENS</t>
  </si>
  <si>
    <t>A 2610.160-30-9908</t>
  </si>
  <si>
    <t>EQUIP REPAIR/RENTAL INT SCH SPRT</t>
  </si>
  <si>
    <t>EQUIP &amp; REPAIR, FS</t>
  </si>
  <si>
    <t>A 2630.461-50-0600</t>
  </si>
  <si>
    <t>CURRICULUM OFF SAL</t>
  </si>
  <si>
    <t>SPEC ED TEACHER SALARY</t>
  </si>
  <si>
    <t xml:space="preserve">A 2010.100-90-9500 </t>
  </si>
  <si>
    <t>GEN LIABILITY INSURANCE</t>
  </si>
  <si>
    <t>E-BOOKS PASHLEY</t>
  </si>
  <si>
    <t>A 2630.451-90-0600</t>
  </si>
  <si>
    <t>EQUIP REPAIR &amp; OTHER CONTRACTUAL MS</t>
  </si>
  <si>
    <t>AWARDS INT SCHOLASTICS</t>
  </si>
  <si>
    <t>DISTRICT POSTAGE</t>
  </si>
  <si>
    <t>GEN SUPPL PHYS ED (Charlton Heights)</t>
  </si>
  <si>
    <t>TECHNOLOGY STAFF SALARIES (Stevens)</t>
  </si>
  <si>
    <t>Human Resource Office Extra Time</t>
  </si>
  <si>
    <t>UNEMPLOYMENT INS</t>
  </si>
  <si>
    <t xml:space="preserve">A 2110.452-50-5000 </t>
  </si>
  <si>
    <t xml:space="preserve">A 5510.451-90-8200 </t>
  </si>
  <si>
    <t xml:space="preserve">A 2020.433-10-1928 </t>
  </si>
  <si>
    <t>A 2610.150-20-9800</t>
  </si>
  <si>
    <t>A 9060.834-90-9001</t>
  </si>
  <si>
    <t>GRNDS MAINT PASHLEY</t>
  </si>
  <si>
    <t xml:space="preserve">A 2110.480-20-1819 </t>
  </si>
  <si>
    <t xml:space="preserve">A 2020.445-20-2000 </t>
  </si>
  <si>
    <t>ADMIN SUPPL HS</t>
  </si>
  <si>
    <t>A 2630.221-60-0600</t>
  </si>
  <si>
    <t>SPEC ED TEACHER ASSISTANTS SALARY (Stevens)</t>
  </si>
  <si>
    <t>PROF DEVELOP ADMIN</t>
  </si>
  <si>
    <t>SOCIAL WORKER SVCS (Charlton Heights)</t>
  </si>
  <si>
    <t xml:space="preserve">A 2110.201-20-1422 </t>
  </si>
  <si>
    <t>Special Education Clerical Salary</t>
  </si>
  <si>
    <t>SPEC ED TEACHER SALARY (Middle School)</t>
  </si>
  <si>
    <t>BOOKBINDING</t>
  </si>
  <si>
    <t xml:space="preserve">A 2110.201-20-1412 </t>
  </si>
  <si>
    <t xml:space="preserve">A 2110.451-20-1412 </t>
  </si>
  <si>
    <t>GEN SUPL GUIDANCE HS</t>
  </si>
  <si>
    <t xml:space="preserve">A 7140.451-90-1700 </t>
  </si>
  <si>
    <t>REPAIRS TO BUSES -  TRANS (Service Contracts)</t>
  </si>
  <si>
    <t>A 1310.445-90-0300</t>
  </si>
  <si>
    <t xml:space="preserve">A 1620.163-90-9900 </t>
  </si>
  <si>
    <t xml:space="preserve">TEACHER RETIREMENT </t>
  </si>
  <si>
    <t xml:space="preserve">A 1310.160-90-9500 </t>
  </si>
  <si>
    <t>BOCES ARTS IN ED STEVENS</t>
  </si>
  <si>
    <t>ATHLETIC ENTRY FEES</t>
  </si>
  <si>
    <t>GRNDS MAINT CHARLTON HGHTS</t>
  </si>
  <si>
    <t>EQUIP REPL INT SCH</t>
  </si>
  <si>
    <t xml:space="preserve">A 2110.448-10-1813 </t>
  </si>
  <si>
    <t xml:space="preserve">A 2110.451-20-1819 </t>
  </si>
  <si>
    <t>MEMBERSHIP BOARD OF ED</t>
  </si>
  <si>
    <t>FIRE INSPECTION &amp; SERVICE</t>
  </si>
  <si>
    <t>A 2110.130-20-9800</t>
  </si>
  <si>
    <t>GEN SUPL AIS MS</t>
  </si>
  <si>
    <t xml:space="preserve">A 2855.460-90-1600 </t>
  </si>
  <si>
    <t xml:space="preserve">A 1640.451-90-8200 </t>
  </si>
  <si>
    <t>COMPUTER SOFTWARE - HUMAN RESOURCES</t>
  </si>
  <si>
    <t xml:space="preserve">A 2110.451-10-1813 </t>
  </si>
  <si>
    <t xml:space="preserve">A 2110.201-20-2023 </t>
  </si>
  <si>
    <t>NEW EQUIP MUSIC HS</t>
  </si>
  <si>
    <t>A 2020.160-90-9907</t>
  </si>
  <si>
    <t xml:space="preserve">A 1310.100-90-9500 </t>
  </si>
  <si>
    <t>A 2110.110-60-9800</t>
  </si>
  <si>
    <t xml:space="preserve">A 2010.160-90-9500 </t>
  </si>
  <si>
    <t xml:space="preserve">A 1630.201-90-8100 </t>
  </si>
  <si>
    <t>K-5 MONITOR &amp; AIDE SALARY (Stevens)</t>
  </si>
  <si>
    <t>Substitute Teacher (School Business) - High School</t>
  </si>
  <si>
    <t>A 1620.162-30-9903</t>
  </si>
  <si>
    <t>MAINTENANCE SALARY</t>
  </si>
  <si>
    <t>LEGAL SERVICES-SALARY</t>
  </si>
  <si>
    <t>KINDERGTN TEACHER SALARY (Charlton Heights)</t>
  </si>
  <si>
    <t>GEN SUPPL ART HS</t>
  </si>
  <si>
    <t xml:space="preserve">A 1620.448-90-8100 </t>
  </si>
  <si>
    <t>EQUIP REPL CH HTS</t>
  </si>
  <si>
    <t>A 2110.140-30-9800</t>
  </si>
  <si>
    <t>Stevens K-5 SUB TEACHER SALARY</t>
  </si>
  <si>
    <t>BUSINESS OFFICE SALARY</t>
  </si>
  <si>
    <t>A 2630.448-90-7000</t>
  </si>
  <si>
    <t xml:space="preserve">A 1430.451-90-0500 </t>
  </si>
  <si>
    <t xml:space="preserve">A 2610.456-10-1500 </t>
  </si>
  <si>
    <t>TRAVEL CONF BOARD OF ED</t>
  </si>
  <si>
    <t>GEN SUPPL NURSES</t>
  </si>
  <si>
    <t>GEN SUPPL PERSONNEL</t>
  </si>
  <si>
    <t>Pupil Supervision (Teacher) - Middle School</t>
  </si>
  <si>
    <t>LIBRARY CLERICAL SALARY</t>
  </si>
  <si>
    <t>TITLE IIA SUPP &amp; MAT 19-20</t>
  </si>
  <si>
    <t>SPEC ED TEACHER SALARY - Additional Pay (High School)</t>
  </si>
  <si>
    <t>NEW EQUIP HIGH SCHOOL</t>
  </si>
  <si>
    <t>A 2825.163-10-9600</t>
  </si>
  <si>
    <t>NEW EQUIP BUSINESS OFC</t>
  </si>
  <si>
    <t>A 2110.451-30-1422</t>
  </si>
  <si>
    <t>FURN REPL HS</t>
  </si>
  <si>
    <t>NON-INSTRUCTIONAL SEPARATION/BENEFITS/Incentives</t>
  </si>
  <si>
    <t xml:space="preserve">A 2110.457-20-1422 </t>
  </si>
  <si>
    <t>LIBRARIAN SALARY (Middle School)</t>
  </si>
  <si>
    <t>A 2110.480-60-0600</t>
  </si>
  <si>
    <t>A 1620.162-60-9906</t>
  </si>
  <si>
    <t xml:space="preserve">A 2110.201-20-2000 </t>
  </si>
  <si>
    <t>FCH1 WORK COMP BENEFITS BHBL 20-21 (1D)</t>
  </si>
  <si>
    <t>REGISTERED NURSE SALARY</t>
  </si>
  <si>
    <t>A 2610.160-10-9908</t>
  </si>
  <si>
    <t>TITLE IIA PROF SAL (PA) 20-21</t>
  </si>
  <si>
    <t>GRNDS MAINT HIGH SCHOOL</t>
  </si>
  <si>
    <t>A 2630.461-30-0600</t>
  </si>
  <si>
    <t>Middle School TEACHER PAY - Additional</t>
  </si>
  <si>
    <t xml:space="preserve">A 2110.451-10-1915 </t>
  </si>
  <si>
    <t xml:space="preserve">A 2110.451-30-3000 </t>
  </si>
  <si>
    <t>BOILER INSURANCE</t>
  </si>
  <si>
    <t>BOCES - BUSINESS OFFICE</t>
  </si>
  <si>
    <t>BOCES ARTS IN ED MS</t>
  </si>
  <si>
    <t>A 2110.131-20-9800</t>
  </si>
  <si>
    <t>A 5510.412-90-0900</t>
  </si>
  <si>
    <t xml:space="preserve">A 2610.457-20-1500 </t>
  </si>
  <si>
    <t>A 2110.120-60-9800</t>
  </si>
  <si>
    <t>ADMIN ASSISTANTS SALARY (Stevens)</t>
  </si>
  <si>
    <t>A 9020.811-90-9000</t>
  </si>
  <si>
    <t>GEN SUPPL SWIMMING</t>
  </si>
  <si>
    <t>A 5510.163-90-9900</t>
  </si>
  <si>
    <t>A 2110.130-10-9800</t>
  </si>
  <si>
    <t>A 2250.451-10-0700</t>
  </si>
  <si>
    <t>A 2610.460-50-1500</t>
  </si>
  <si>
    <t xml:space="preserve">A 2610.456-50-1500 </t>
  </si>
  <si>
    <t>A 2610.150-60-9800</t>
  </si>
  <si>
    <t xml:space="preserve">A 1920.401-90-1600 </t>
  </si>
  <si>
    <t>A 2610.459-60-1500</t>
  </si>
  <si>
    <t>A 2110.451-20-1700</t>
  </si>
  <si>
    <t>TELEPHONE</t>
  </si>
  <si>
    <t>Security Extra Time - High School</t>
  </si>
  <si>
    <t>A 2070.490-90-1100</t>
  </si>
  <si>
    <t xml:space="preserve">A 2110.448-50-5000 </t>
  </si>
  <si>
    <t xml:space="preserve">A 1620.201-90-8100 </t>
  </si>
  <si>
    <t xml:space="preserve">A 2250.400-90-0700 </t>
  </si>
  <si>
    <t>A 1620.490-90-1100</t>
  </si>
  <si>
    <t>EQUIP REPAIR MUSIC</t>
  </si>
  <si>
    <t xml:space="preserve">A 1640.163-90-8100 </t>
  </si>
  <si>
    <t>DISTRICT OFF (SUPT/CURR) NON-INSTRUCTIONAL SALARY - ADDITIONAL PAY</t>
  </si>
  <si>
    <t>Adult Ed - Contractual</t>
  </si>
  <si>
    <t>NEW EQUIP SCI MS</t>
  </si>
  <si>
    <t>A 2110.490-90-1100</t>
  </si>
  <si>
    <t>BOCES ARTS IN ED CH HGTS</t>
  </si>
  <si>
    <t xml:space="preserve">A 2110.202-50-5000 </t>
  </si>
  <si>
    <t xml:space="preserve">A 1620.418-90-0900 </t>
  </si>
  <si>
    <t>BOCES - COMPUTER ASSISTED INSTRUCTION</t>
  </si>
  <si>
    <t xml:space="preserve">A 2110.498-10-1900 </t>
  </si>
  <si>
    <t>GEN SUPL SPEC ED HS</t>
  </si>
  <si>
    <t>A 5510.164-90-9900</t>
  </si>
  <si>
    <t>BLDG MAINT TRANS</t>
  </si>
  <si>
    <t>MEDIA MATL HEALTH MS</t>
  </si>
  <si>
    <t>MEDIA MATL CH HGTS</t>
  </si>
  <si>
    <t>E-BOOKS HIGH SCHOOL</t>
  </si>
  <si>
    <t>A 2330.457-90-1300</t>
  </si>
  <si>
    <t xml:space="preserve">A 1310.201-90-0300 </t>
  </si>
  <si>
    <t xml:space="preserve">A 2110.202-10-1813 </t>
  </si>
  <si>
    <t>BOCES ADMIN CHARGE</t>
  </si>
  <si>
    <t xml:space="preserve">A 2110.202-10-1412 </t>
  </si>
  <si>
    <t>GIFTED AND TALENTED DIST</t>
  </si>
  <si>
    <t>A 2020.160-50-9900</t>
  </si>
  <si>
    <t>BUS OFFICE NON-INSTRUCT SALARY</t>
  </si>
  <si>
    <t>RESOURCE MATL STEVENS</t>
  </si>
  <si>
    <t>TRAVEL CONF TRANS</t>
  </si>
  <si>
    <t>TITLE IIA PROF SAL (ST) 20-21</t>
  </si>
  <si>
    <t>NEW EQUIP MUSIC ELEM CH</t>
  </si>
  <si>
    <t>A 2110.140-10-9801</t>
  </si>
  <si>
    <t>STUDENT ACCIDENT INSUR</t>
  </si>
  <si>
    <t>MEDIA MATL MIDDLE SCHOOL</t>
  </si>
  <si>
    <t xml:space="preserve">A 1620.161-90-9900 </t>
  </si>
  <si>
    <t>A 2250.150-60-9800</t>
  </si>
  <si>
    <t>A 5540.440-90-1422</t>
  </si>
  <si>
    <t>A 2630.201-90-7000</t>
  </si>
  <si>
    <t>A 2630.460-10-1813</t>
  </si>
  <si>
    <t>SOCIAL WORKER SALARIES (Middle School)</t>
  </si>
  <si>
    <t>SOCIAL SECURITY TRANS</t>
  </si>
  <si>
    <t>A 2250.451-30-0700</t>
  </si>
  <si>
    <t xml:space="preserve">A 2110.457-10-1916 </t>
  </si>
  <si>
    <t>SPEC ED TEACHER SALARY SUMMER CURRICULIUM</t>
  </si>
  <si>
    <t xml:space="preserve">A 5530.402-90-8200 </t>
  </si>
  <si>
    <t>A 2815.160-90-0600</t>
  </si>
  <si>
    <t>CUST IMPROVE PLAN</t>
  </si>
  <si>
    <t>A 2250.150-20-9902</t>
  </si>
  <si>
    <t>STATE AIDED SOFTWARE (Charlton Heights)</t>
  </si>
  <si>
    <t xml:space="preserve">A 2010.458-90-0600 </t>
  </si>
  <si>
    <t>ODYSSEY OF THE MIND</t>
  </si>
  <si>
    <t xml:space="preserve">A 2070.431-20-2000 </t>
  </si>
  <si>
    <t>A 2110.153-60-9900</t>
  </si>
  <si>
    <t>A 1620.160-10-9900</t>
  </si>
  <si>
    <t>SPEC ED TEACHER SALARY (Pashley)</t>
  </si>
  <si>
    <t xml:space="preserve">A 2110.400-10-1900 </t>
  </si>
  <si>
    <t>Administrative Assistant Extra Time - Charlton Heights</t>
  </si>
  <si>
    <t>OTHER EXP BOARD OF ED</t>
  </si>
  <si>
    <t>A 2110.161-50-9900</t>
  </si>
  <si>
    <t>A 1480.490-90-1100</t>
  </si>
  <si>
    <t>A 1010.490-90-1100</t>
  </si>
  <si>
    <t>A 2110.111-60-9800</t>
  </si>
  <si>
    <t>TEXTBOOKS CURRICULUM (Pashley)</t>
  </si>
  <si>
    <t>A 2630.201-30-3000</t>
  </si>
  <si>
    <t>LUBRICATION</t>
  </si>
  <si>
    <t>PUPIL ACTIVITIES</t>
  </si>
  <si>
    <t>TEXTBOOKS MUSIC ELEM PASHLEY</t>
  </si>
  <si>
    <t xml:space="preserve">A 2110.498-20-1100 </t>
  </si>
  <si>
    <t>CONTRACT TRANSPORTATION</t>
  </si>
  <si>
    <t xml:space="preserve">A 2110.221-60-6000 </t>
  </si>
  <si>
    <t>REGISTERED NURSE SALARY (Pashley)</t>
  </si>
  <si>
    <t>Teacher Assistant Extra Time (Pashley)</t>
  </si>
  <si>
    <t>A 5510.165-90-9900</t>
  </si>
  <si>
    <t xml:space="preserve">A 1060.160-90-9600 </t>
  </si>
  <si>
    <t xml:space="preserve">A 1240.460-90-0200 </t>
  </si>
  <si>
    <t>AUDITING SALARIES</t>
  </si>
  <si>
    <t>A 2110.111-30-9800</t>
  </si>
  <si>
    <t xml:space="preserve">A 1640.448-90-8100 </t>
  </si>
  <si>
    <t>MEDIA MATL ENGLISH HS</t>
  </si>
  <si>
    <t xml:space="preserve">A 2110.451-20-2015 </t>
  </si>
  <si>
    <t>THEATER PRODUCTION</t>
  </si>
  <si>
    <t xml:space="preserve">COMPUTER SOFTWARE/APPS </t>
  </si>
  <si>
    <t>PROFESSIONAL SVCES MUSIC</t>
  </si>
  <si>
    <t>EQUIP REPAIR PHYS ED (Middle School)</t>
  </si>
  <si>
    <t xml:space="preserve">A 9731.710-90-9100 </t>
  </si>
  <si>
    <t xml:space="preserve">A 2070.431-10-1900 </t>
  </si>
  <si>
    <t>OFFICIALS/TIME-SCORE KEEPER &amp; OTHER CONTRACTUAL</t>
  </si>
  <si>
    <t xml:space="preserve">A 2610.456-60-1500 </t>
  </si>
  <si>
    <t>A 2630.221-20-0600</t>
  </si>
  <si>
    <t>MEDIA MATL WORK STUDY</t>
  </si>
  <si>
    <t>PUBLIC INFORMATION</t>
  </si>
  <si>
    <t xml:space="preserve">A 2270.451-20-2027 </t>
  </si>
  <si>
    <t xml:space="preserve">A 2610.455-60-1500 </t>
  </si>
  <si>
    <t>A 2110.140-50-9800</t>
  </si>
  <si>
    <t>A 2110.451-20-2025</t>
  </si>
  <si>
    <t>A 5510.404-90-8200</t>
  </si>
  <si>
    <t>ADMIN SUPPL MS</t>
  </si>
  <si>
    <t xml:space="preserve">A 2020.451-30-3000 </t>
  </si>
  <si>
    <t>TEXTBOOKS MUSIC ELEM CH</t>
  </si>
  <si>
    <t>ARTS IN ED PASHLEY</t>
  </si>
  <si>
    <t>A 2250.161-90-9900</t>
  </si>
  <si>
    <t xml:space="preserve">A 2610.202-20-1500 </t>
  </si>
  <si>
    <t xml:space="preserve">A 2825.444-10-1819 </t>
  </si>
  <si>
    <t>A 2020.167-60-9906</t>
  </si>
  <si>
    <t xml:space="preserve">A 2070.432-50-5000 </t>
  </si>
  <si>
    <t>GEN SUPPL SPEC SERVICES (Charlton Heights)</t>
  </si>
  <si>
    <t>ADULT ED/SUMMER SCHOOL CLERICAL SALARY</t>
  </si>
  <si>
    <t>TECHNOLOGY STAFF SALARIES - Extra Time (HS)</t>
  </si>
  <si>
    <t>A 2630.221-10-0600</t>
  </si>
  <si>
    <t xml:space="preserve">A 1620.160-90-9900 </t>
  </si>
  <si>
    <t>FCH1 NYTRS BENEFITS BHBL 20-21 (1D)</t>
  </si>
  <si>
    <t>A 5530.420-90-8200</t>
  </si>
  <si>
    <t>Charlton Height K-5 SUB TEACHER SALARY</t>
  </si>
  <si>
    <t>CH1 PROF SAL BHBL (ST) 20-21 (1A)</t>
  </si>
  <si>
    <t>BOCES - TEACHING (REGULAR SCHOOL)</t>
  </si>
  <si>
    <t>EQUIPMENT RENTAL</t>
  </si>
  <si>
    <t xml:space="preserve">A 2110.480-30-3000 </t>
  </si>
  <si>
    <t>IDEA 611 PROF SAL 20-21 (CH)</t>
  </si>
  <si>
    <t>LAUNDRY TRANSPORTATION</t>
  </si>
  <si>
    <t>A 2110.451-30-1700</t>
  </si>
  <si>
    <t>REGISTERED NURSE SALARY (Stevens)</t>
  </si>
  <si>
    <t xml:space="preserve">A 2020.445-50-5000 </t>
  </si>
  <si>
    <t>MEDIA MATL FACS MS</t>
  </si>
  <si>
    <t>SOCIAL WORKER SALARIES (Stevens)</t>
  </si>
  <si>
    <t xml:space="preserve">A 1920.404-90-1422 </t>
  </si>
  <si>
    <t xml:space="preserve">A 2110.480-10-1923 </t>
  </si>
  <si>
    <t>SECURITY SALARY</t>
  </si>
  <si>
    <t>A 2610.150-10-9800</t>
  </si>
  <si>
    <t>A 2020.150-30-9700</t>
  </si>
  <si>
    <t>A 1310.400-90-0300</t>
  </si>
  <si>
    <t>A 2330.400-90-1200</t>
  </si>
  <si>
    <t>A 1480.441-90-0200</t>
  </si>
  <si>
    <t>A 2110.448-20-1700</t>
  </si>
  <si>
    <t>A 1640.449-20-8100</t>
  </si>
  <si>
    <t>Stevens CLER, MON, SECURITY &amp; TA SUB SALARY</t>
  </si>
  <si>
    <t xml:space="preserve">A 2110.448-60-6000 </t>
  </si>
  <si>
    <t>A 2270.150-60-9800</t>
  </si>
  <si>
    <t xml:space="preserve">A 2110.222-20-2000 </t>
  </si>
  <si>
    <t>6-12 MONITOR &amp; AIDE SAL (Middle School)</t>
  </si>
  <si>
    <t>A 2020.167-30-9903</t>
  </si>
  <si>
    <t xml:space="preserve">A 9901.950-90-9200 </t>
  </si>
  <si>
    <t xml:space="preserve">HEALTH REIMBURSEMENT ACCOUNT </t>
  </si>
  <si>
    <t>IT SUPPLIES</t>
  </si>
  <si>
    <t>GEN SUPPL PHYS ED (Stevens)</t>
  </si>
  <si>
    <t xml:space="preserve">A 2110.457-30-3000 </t>
  </si>
  <si>
    <t>TEXTBOOKS HS</t>
  </si>
  <si>
    <t>A 2815.160-30-9900</t>
  </si>
  <si>
    <t>IDEA 611 PROF SAL 20-21 (ST)</t>
  </si>
  <si>
    <t xml:space="preserve">A 2110.202-10-1819 </t>
  </si>
  <si>
    <t xml:space="preserve">A 1010.445-90-0100 </t>
  </si>
  <si>
    <t>TEACHER ASSISTANTS SALARY (Pashley)</t>
  </si>
  <si>
    <t>A 2020.161-20-9900</t>
  </si>
  <si>
    <t>PERIODICALS HIGH SCHOOL</t>
  </si>
  <si>
    <t>DEBT SERVICE CHARGE</t>
  </si>
  <si>
    <t>A 2110.433-90-0600</t>
  </si>
  <si>
    <t>Substitute Teacher (School Business) - Charlton Heights</t>
  </si>
  <si>
    <t xml:space="preserve">A 1620.423-90-8100 </t>
  </si>
  <si>
    <t>A 2110.451-50-1412</t>
  </si>
  <si>
    <t xml:space="preserve">A 5510.460-90-8200 </t>
  </si>
  <si>
    <t xml:space="preserve">A 2250.202-90-0700 </t>
  </si>
  <si>
    <t>E-BOOKS MIDDLE SCHOOL</t>
  </si>
  <si>
    <t xml:space="preserve">A 9901.930-30-9300 </t>
  </si>
  <si>
    <t>Administrative Assistant Extra Time-Pashley</t>
  </si>
  <si>
    <t>EQUIP REPLACE, SR HIGH</t>
  </si>
  <si>
    <t>A 2010.450-90-0600</t>
  </si>
  <si>
    <t>A 2250.454-90-0700</t>
  </si>
  <si>
    <t xml:space="preserve">A 2330.150-90-9600 </t>
  </si>
  <si>
    <t>A 2110.471-90-0600</t>
  </si>
  <si>
    <t>BOCES - INTERSCHOLASTIC ATHLETICS</t>
  </si>
  <si>
    <t xml:space="preserve">A 1010.400-90-0100 </t>
  </si>
  <si>
    <t>GEN SUPPL PRINTING DIST</t>
  </si>
  <si>
    <t>WORK STUDY SALARY</t>
  </si>
  <si>
    <t>CENSUS SALARY</t>
  </si>
  <si>
    <t xml:space="preserve">A 5510.445-90-8200 </t>
  </si>
  <si>
    <t xml:space="preserve">A 5530.424-90-8200 </t>
  </si>
  <si>
    <t>BLDG MAINT PASHLEY</t>
  </si>
  <si>
    <t>GEN SUPPL PHYS ED (Middle School)</t>
  </si>
  <si>
    <t>MEDIA MATL HIGH SCHOOL</t>
  </si>
  <si>
    <t>TRAVEL IN DIST SPEC SERV</t>
  </si>
  <si>
    <t>FURN REPL MS</t>
  </si>
  <si>
    <t xml:space="preserve">A 2110.451-10-1923 </t>
  </si>
  <si>
    <t xml:space="preserve">A 2020.451-10-1900 </t>
  </si>
  <si>
    <t>PROGRAM DEVEL PASHLEY</t>
  </si>
  <si>
    <t xml:space="preserve">A 1620.401-90-8100 </t>
  </si>
  <si>
    <t>A 2250.151-10-9800</t>
  </si>
  <si>
    <t>GEN SUPPL NURSES (Middle School)</t>
  </si>
  <si>
    <t xml:space="preserve">A 2110.451-50-5021 </t>
  </si>
  <si>
    <t>OUT OF DIST HEALTH SERV</t>
  </si>
  <si>
    <t>BLDG DEBT PRIN BOND</t>
  </si>
  <si>
    <t>GEN SUPPL ENGLISH MS</t>
  </si>
  <si>
    <t>HOME TUTORING (SALARY)</t>
  </si>
  <si>
    <t xml:space="preserve">A 1630.162-90-9900 </t>
  </si>
  <si>
    <t>SEC PRIN &amp; ASST PRIN SAL (High School)</t>
  </si>
  <si>
    <t>A 1670.447-90-0800</t>
  </si>
  <si>
    <t>CH1 SUPPLIES KETCHUM (1D)</t>
  </si>
  <si>
    <t>TITLE IIA PROF SAL (MS) 20-21</t>
  </si>
  <si>
    <t>TRANSFER TO SPECIAL AID 4408</t>
  </si>
  <si>
    <t>EQUIP &amp; RENTALS BUS GARAGE</t>
  </si>
  <si>
    <t>DIGNITY FOR ALL SALARY</t>
  </si>
  <si>
    <t>TRAVEL CONF CURRICULUM</t>
  </si>
  <si>
    <t>EQUIP REPAIR HS GEN</t>
  </si>
  <si>
    <t>BOCES - TRANSPORTATION</t>
  </si>
  <si>
    <t>TRAVEL CONF SUPERINTENDEN</t>
  </si>
  <si>
    <t xml:space="preserve">A 9030.815-90-9000 </t>
  </si>
  <si>
    <t>EQUIP REPL TECH MS</t>
  </si>
  <si>
    <t>1-5 TEACHER SALARY (Stevens)</t>
  </si>
  <si>
    <t>COMP SOFTWARE/APPS BUS ED MS</t>
  </si>
  <si>
    <t>A 2110.162-60-9906</t>
  </si>
  <si>
    <t>Library Clerical Salary - Extra Time</t>
  </si>
  <si>
    <t xml:space="preserve">A 1640.449-50-8100 </t>
  </si>
  <si>
    <t xml:space="preserve">A 2110.451-10-1820 </t>
  </si>
  <si>
    <t>A 2020.161-50-9900</t>
  </si>
  <si>
    <t>A 2815.160-20-9900</t>
  </si>
  <si>
    <t>A 1630.456-90-8100</t>
  </si>
  <si>
    <t xml:space="preserve">A 9901.930-10-9300 </t>
  </si>
  <si>
    <t>BUS PURCHASES</t>
  </si>
  <si>
    <t>ATHLETIC TRAINER</t>
  </si>
  <si>
    <t>A 5510.454-90-8200</t>
  </si>
  <si>
    <t>K-5 MONITOR &amp; AIDE SALARY (Charlton Heights)</t>
  </si>
  <si>
    <t xml:space="preserve">A 2630.448-90-0600 </t>
  </si>
  <si>
    <t>A 2110.140-10-9800</t>
  </si>
  <si>
    <t>Clerical Extra Time - Middle School</t>
  </si>
  <si>
    <t>BOCES ARTS IN ED PASH</t>
  </si>
  <si>
    <t>A 2630.150-20-9907</t>
  </si>
  <si>
    <t>EQUIP REPAIR &amp; OTHER CONTRACTUAL TECH HS</t>
  </si>
  <si>
    <t xml:space="preserve">A 2110.201-30-3000 </t>
  </si>
  <si>
    <t>A 2250.151-60-9800</t>
  </si>
  <si>
    <t>PERIODICALS MIDDLE SCHOOL</t>
  </si>
  <si>
    <t>A 2630.221-30-0600</t>
  </si>
  <si>
    <t>MEDIA MATL HEALTH HS</t>
  </si>
  <si>
    <t>A 9060.834-90-9002</t>
  </si>
  <si>
    <t>INSURANCE ON BUSES (AUTO LIABILITY)</t>
  </si>
  <si>
    <t>NEW EQUIP CH HGTS</t>
  </si>
  <si>
    <t>OTHER EXP SUPERINTENDENT</t>
  </si>
  <si>
    <t>A 5510.456-90-8200</t>
  </si>
  <si>
    <t xml:space="preserve">A 1620.424-90-8100 </t>
  </si>
  <si>
    <t>LIBRARIAN SALARY (Stevens)</t>
  </si>
  <si>
    <t>A 2825.436-50-0700</t>
  </si>
  <si>
    <t>BLDG DEBT BANS INTEREST</t>
  </si>
  <si>
    <t>NEW EQUIP MS</t>
  </si>
  <si>
    <t>PUPIL SUPERVISION (PAYROLL) / Fitness Ctr</t>
  </si>
  <si>
    <t xml:space="preserve">CIVIL SERVICE RETIREMENT </t>
  </si>
  <si>
    <t>A 2822.150-60-9800</t>
  </si>
  <si>
    <t>GEN SUPPL SPEC SERVICES (High School)</t>
  </si>
  <si>
    <t>BLDG MAINT DISTRICT</t>
  </si>
  <si>
    <t>GEN SUPPL MUSIC HS</t>
  </si>
  <si>
    <t>EQUIP REPL LIB HS</t>
  </si>
  <si>
    <t>MEDIA MATL MS ART</t>
  </si>
  <si>
    <t xml:space="preserve">A 2110.480-20-2000 </t>
  </si>
  <si>
    <t xml:space="preserve">A 2110.445-10-1900 </t>
  </si>
  <si>
    <t>A 2110.448-30-1700</t>
  </si>
  <si>
    <t xml:space="preserve">A 2110.451-20-2028 </t>
  </si>
  <si>
    <t>PLUMBING SUPPLIES</t>
  </si>
  <si>
    <t>Custodial Extra Time - High School</t>
  </si>
  <si>
    <t>A 2250.451-20-0700</t>
  </si>
  <si>
    <t>GEN SUPPL ADULT ED</t>
  </si>
  <si>
    <t>A 1620.444-90-8100</t>
  </si>
  <si>
    <t xml:space="preserve">A 2110.222-30-3000 </t>
  </si>
  <si>
    <t>CUSTODIAN SALARY (Stevens)</t>
  </si>
  <si>
    <t>Teacher Assistant Extra Time (High School)</t>
  </si>
  <si>
    <t xml:space="preserve">A 9040.833-90-9000 </t>
  </si>
  <si>
    <t>STAFF DEVELOP TRANSP</t>
  </si>
  <si>
    <t>A 2250.150-50-9800</t>
  </si>
  <si>
    <t>A 2630.460-20-1813</t>
  </si>
  <si>
    <t>MEMBERSHIPS FINE ARTS</t>
  </si>
  <si>
    <t>MAINTENANCE CLERICAL SALARY</t>
  </si>
  <si>
    <t>GUIDANCE CLERICAL SALARY (Middle School)</t>
  </si>
  <si>
    <t xml:space="preserve">A 2815.404-90-0700 </t>
  </si>
  <si>
    <t>TRS TO LUNCH STEVENS</t>
  </si>
  <si>
    <t>CUSTODIAN SALARY (Middle School)</t>
  </si>
  <si>
    <t xml:space="preserve">A 2010.451-90-0600 </t>
  </si>
  <si>
    <t>A 2110.472-90-0600</t>
  </si>
  <si>
    <t>GASOLINE</t>
  </si>
  <si>
    <t>ELEM PRIN SAL (Stevens)</t>
  </si>
  <si>
    <t>Stevens KINDERGTN TEACHER PAY - Additional</t>
  </si>
  <si>
    <t>SPEC ED TEACHER SALARY - Additional Pay (Middle School)</t>
  </si>
  <si>
    <t>COMPUTER EQUIPMENT (High School)</t>
  </si>
  <si>
    <t>CH1 PROF SAL KETCHUM 20-21 (1D)</t>
  </si>
  <si>
    <t>A 2250.150-60-9906</t>
  </si>
  <si>
    <t xml:space="preserve">A 2110.498-90-1100 </t>
  </si>
  <si>
    <t>A 2110.480-30-1422</t>
  </si>
  <si>
    <t>BOCES - COMPUTER ASSISTED INSTRUCTION (High School)</t>
  </si>
  <si>
    <t>TEXTBOOKS 6-12 SUMMER SCH</t>
  </si>
  <si>
    <t xml:space="preserve">A 9901.930-20-9300 </t>
  </si>
  <si>
    <t>1-5 TEACHER SALARY (Pashley)</t>
  </si>
  <si>
    <t xml:space="preserve">A 1630.160-90-9900 </t>
  </si>
  <si>
    <t>TECHNOLOGY STAFF SALARIES (High School)</t>
  </si>
  <si>
    <t>SOFTWARE TRANSPORTATION</t>
  </si>
  <si>
    <t>A 2330.433-90-1200</t>
  </si>
  <si>
    <t>A 2815.160-50-9905</t>
  </si>
  <si>
    <t xml:space="preserve">A 7140.457-90-1700 </t>
  </si>
  <si>
    <t>AIS TEACHER SALARY (Pashley)</t>
  </si>
  <si>
    <t>A 2110.480-30-0600</t>
  </si>
  <si>
    <t>A 1330.400-90-0400</t>
  </si>
  <si>
    <t>HANDICAP TUITION (NON-PUBLIC SCHOOLS)</t>
  </si>
  <si>
    <t>IDEA 611 SUP &amp; MAT 19-20</t>
  </si>
  <si>
    <t>TIRES</t>
  </si>
  <si>
    <t>REGISTERED NURSE SALARY (High School)</t>
  </si>
  <si>
    <t xml:space="preserve">A 2110.202-10-1820 </t>
  </si>
  <si>
    <t>A 2110.451-30-1412</t>
  </si>
  <si>
    <t>A 2110.480-50-0600</t>
  </si>
  <si>
    <t>A 2250.155-90-9700</t>
  </si>
  <si>
    <t>LIB &amp; AUD VIS STEVENS</t>
  </si>
  <si>
    <t>GEN SUPPL BUS ED HS</t>
  </si>
  <si>
    <t>MEDIA SUPPL INT SCH SPORT</t>
  </si>
  <si>
    <t xml:space="preserve">A 2110.457-10-1925 </t>
  </si>
  <si>
    <t>A 2250.151-30-9800</t>
  </si>
  <si>
    <t>PERIODICALS PASHLEY</t>
  </si>
  <si>
    <t>RESOURCE MATL HIGH SCHOOL</t>
  </si>
  <si>
    <t xml:space="preserve">A 2110.202-20-1820 </t>
  </si>
  <si>
    <t>A 1620.405-90-8100</t>
  </si>
  <si>
    <t>A 2110.448-60-1700</t>
  </si>
  <si>
    <t>A 2815.160-30-9903</t>
  </si>
  <si>
    <t>WORKER COMPENSATION</t>
  </si>
  <si>
    <t xml:space="preserve">A 2110.457-10-1817 </t>
  </si>
  <si>
    <t xml:space="preserve">A 2855.458-90-1600 </t>
  </si>
  <si>
    <t xml:space="preserve">A 2110.498-60-1100 </t>
  </si>
  <si>
    <t>GEN SUPPL HANDICAP MS</t>
  </si>
  <si>
    <t xml:space="preserve">A 1620.404-90-8100 </t>
  </si>
  <si>
    <t>ELEM PRIN SAL (Pashley)</t>
  </si>
  <si>
    <t>GEN SUPPL SOC STUD MS</t>
  </si>
  <si>
    <t>GEN SUPPL ELEM MUSIC STEVENS</t>
  </si>
  <si>
    <t xml:space="preserve">A 1620.420-90-8100 </t>
  </si>
  <si>
    <t>REGISTERED NURSE SALARY (Middle School)</t>
  </si>
  <si>
    <t>A 2110.121-30-9800</t>
  </si>
  <si>
    <t>POWER</t>
  </si>
  <si>
    <t xml:space="preserve">A 2020.445-10-1900 </t>
  </si>
  <si>
    <t>A 2060.490-90-1100</t>
  </si>
  <si>
    <t>RETIREMENT TRANSPORT</t>
  </si>
  <si>
    <t>A 2630.460-90-0700</t>
  </si>
  <si>
    <t>TAX COLLECTION/BANKING SERVICE</t>
  </si>
  <si>
    <t xml:space="preserve">A 2110.452-60-6000 </t>
  </si>
  <si>
    <t xml:space="preserve">A 5510.450-90-8200 </t>
  </si>
  <si>
    <t>BOCES - PERSONNEL SERVICES</t>
  </si>
  <si>
    <t>Teacher Assistant Extra Time (Middle School)</t>
  </si>
  <si>
    <t xml:space="preserve">A 1620.451-90-8100 </t>
  </si>
  <si>
    <t>LEGAL SERVICES</t>
  </si>
  <si>
    <t>TEST SUPPLIES DISTRICT</t>
  </si>
  <si>
    <t xml:space="preserve">Clerical Extra Time -Pashley
</t>
  </si>
  <si>
    <t>Library Clerical Salary - Extra Time (ST)</t>
  </si>
  <si>
    <t>A 2250.156-90-9800</t>
  </si>
  <si>
    <t>TITLE IV SUPP &amp; MAT (PA) 20-21</t>
  </si>
  <si>
    <t>A 2020.150-10-9700</t>
  </si>
  <si>
    <t xml:space="preserve">A 1620.421-90-8100 </t>
  </si>
  <si>
    <t>Custodial Extra Time-Pashley</t>
  </si>
  <si>
    <t>TITLE IIA PROF SAL 19-20</t>
  </si>
  <si>
    <t>BLDG MAINT CHARLTON HGHTS</t>
  </si>
  <si>
    <t>TRS TO LUNCH HIGH SCHOOL</t>
  </si>
  <si>
    <t>A 9010.813-90-9000</t>
  </si>
  <si>
    <t>IDEA 619 PURCH SVC 20-21</t>
  </si>
  <si>
    <t xml:space="preserve">A 5510.423-90-8200 </t>
  </si>
  <si>
    <t>High School SUB TEACHER SALARY</t>
  </si>
  <si>
    <t>BLDG MAINT MS</t>
  </si>
  <si>
    <t xml:space="preserve">A 2110.202-90-0600 </t>
  </si>
  <si>
    <t>REGISTERED NURSE SALARY (Charlton Heights)</t>
  </si>
  <si>
    <t>NEW EQUIP ART MS</t>
  </si>
  <si>
    <t>A 2110.162-50-9905</t>
  </si>
  <si>
    <t xml:space="preserve">A 2110.480-10-1921 </t>
  </si>
  <si>
    <t>A 2630.460-90-0500</t>
  </si>
  <si>
    <t>A 2855.490-90-1100</t>
  </si>
  <si>
    <t>SPEC PROJ LABOR MAINT</t>
  </si>
  <si>
    <t>Nurse Extra Time - Charlton Heights</t>
  </si>
  <si>
    <t>A 2630.221-50-0600</t>
  </si>
  <si>
    <t xml:space="preserve">A 2630.461-90-0600 </t>
  </si>
  <si>
    <t>A 2250.444-90-0700</t>
  </si>
  <si>
    <t>A 2110.130-10-9801</t>
  </si>
  <si>
    <t>TRANSFER TO CAPITAL FUND - Energy Performance</t>
  </si>
  <si>
    <t>PROF HEALTH SERVICES</t>
  </si>
  <si>
    <t>EQUIP REPL MUSIC MS</t>
  </si>
  <si>
    <t>MEDIA MATL PASHLEY</t>
  </si>
  <si>
    <t>A 2630.460-90-1500</t>
  </si>
  <si>
    <t xml:space="preserve">A 2110.480-10-1916 </t>
  </si>
  <si>
    <t>LIB &amp; AUD VIS HIGH SCHOOL</t>
  </si>
  <si>
    <t>REC SWIM SALARY</t>
  </si>
  <si>
    <t xml:space="preserve">A 2020.451-20-2029 </t>
  </si>
  <si>
    <t>TEXTBOOKS TECH HS</t>
  </si>
  <si>
    <t>TEXTBOOKS SCIENCE HS</t>
  </si>
  <si>
    <t>A 2815.160-50-9900</t>
  </si>
  <si>
    <t>A 1620.160-30-9900</t>
  </si>
  <si>
    <t>STATE AIDED HARDWARE (Pashley)</t>
  </si>
  <si>
    <t>EQUIP REPAIR PHYS ED (Stevens)</t>
  </si>
  <si>
    <t xml:space="preserve">A 2110.480-20-1422 </t>
  </si>
  <si>
    <t xml:space="preserve">A 9901.930-60-9300 </t>
  </si>
  <si>
    <t>DUPL SUPPL MS</t>
  </si>
  <si>
    <t xml:space="preserve">A 2610.457-10-1500 </t>
  </si>
  <si>
    <t>ELECTRICAL SUPPLY</t>
  </si>
  <si>
    <t>A 2630.490-10-1100</t>
  </si>
  <si>
    <t>GEN SUPPL NURSES (Pashley)</t>
  </si>
  <si>
    <t>A 2610.459-30-1500</t>
  </si>
  <si>
    <t xml:space="preserve">A 2110.451-20-1422 </t>
  </si>
  <si>
    <t>CUSTODIAN SALARY (Charlton Heights)</t>
  </si>
  <si>
    <t>A 2110.140-60-9806</t>
  </si>
  <si>
    <t xml:space="preserve">A 1640.449-60-8100 </t>
  </si>
  <si>
    <t>Charlton Heights KINDERGTN TEACHER PAY - Additional</t>
  </si>
  <si>
    <t>TEXTBOOKS LANGUAGE HS</t>
  </si>
  <si>
    <t xml:space="preserve">A 1010.460-90-0100 </t>
  </si>
  <si>
    <t>GEN SUPL K-5 SUMMER SCHL</t>
  </si>
  <si>
    <t>IDEA 611 PROF SAL 19-20</t>
  </si>
  <si>
    <t>EQUIP NEW TRANSP</t>
  </si>
  <si>
    <t>A 2630.461-60-0600</t>
  </si>
  <si>
    <t>A 2822.150-20-9800</t>
  </si>
  <si>
    <t>A 2610.150-30-9800</t>
  </si>
  <si>
    <t xml:space="preserve">A 1640.448-10-8100 </t>
  </si>
  <si>
    <t>TRANSPORTATION SUPERVISOR OFFICE - Overtime</t>
  </si>
  <si>
    <t>Clerical Extra Time-Charlton Heights</t>
  </si>
  <si>
    <t>CH1 PROF SAL BHBL (MS) 20-21 (1A)</t>
  </si>
  <si>
    <t>COMP SOFTWARE/APPS LIBRARY</t>
  </si>
  <si>
    <t xml:space="preserve">A 2110.202-10-1900 </t>
  </si>
  <si>
    <t>High School</t>
  </si>
  <si>
    <t>Middle School</t>
  </si>
  <si>
    <t>Charlton Heights</t>
  </si>
  <si>
    <t>Pashley</t>
  </si>
  <si>
    <t>Stevens</t>
  </si>
  <si>
    <t>F 2250.150-10-2100</t>
  </si>
  <si>
    <t>F 2250.150-20-21</t>
  </si>
  <si>
    <t>F 2250.150-30-21</t>
  </si>
  <si>
    <t>F 2250.150-50-21</t>
  </si>
  <si>
    <t>F 2250.150-60-21</t>
  </si>
  <si>
    <t>F 2250.150-90-20</t>
  </si>
  <si>
    <t>F 2250.160-90-21</t>
  </si>
  <si>
    <t>F 2250.400-90-21</t>
  </si>
  <si>
    <t>F 2250.451-90-20</t>
  </si>
  <si>
    <t>F 2250.451-90-21</t>
  </si>
  <si>
    <t>F 2253.150-90-20</t>
  </si>
  <si>
    <t>F 2253.160-90-20</t>
  </si>
  <si>
    <t>F 2253.451-90-20</t>
  </si>
  <si>
    <t>F 2110.400-90-21</t>
  </si>
  <si>
    <t>F 2110.400-99-19</t>
  </si>
  <si>
    <t>F 2110.400-99-20</t>
  </si>
  <si>
    <t>F 2110.400-99-21</t>
  </si>
  <si>
    <t>F 9020.811-90-21</t>
  </si>
  <si>
    <t>F 9030.815-90-21</t>
  </si>
  <si>
    <t>F 9040.833-90-21</t>
  </si>
  <si>
    <t>F 9060.834-90-21</t>
  </si>
  <si>
    <t>F 9030.815-99-21</t>
  </si>
  <si>
    <t>F 9060.834-99-21</t>
  </si>
  <si>
    <t>F 2110.150-20-21</t>
  </si>
  <si>
    <t>F 2110.150-50-21</t>
  </si>
  <si>
    <t>F 2110.150-60-21</t>
  </si>
  <si>
    <t>F 2110.150-90-20</t>
  </si>
  <si>
    <t>F 2110.150-99-21</t>
  </si>
  <si>
    <t>F 2110.451-90-21</t>
  </si>
  <si>
    <t>F 2110.451-99</t>
  </si>
  <si>
    <t>F 2110.451-99-17</t>
  </si>
  <si>
    <t>F 2110.451-99-18</t>
  </si>
  <si>
    <t>F 2110.451-99-19</t>
  </si>
  <si>
    <t>F 2110.451-99-20</t>
  </si>
  <si>
    <t>F 2110.451-90-20</t>
  </si>
  <si>
    <t>F 2110.451-50-21</t>
  </si>
  <si>
    <t>F 2534.4729-00-0</t>
  </si>
  <si>
    <t>Burnt Hills-Ballston Lake CSD</t>
  </si>
  <si>
    <t>520101</t>
  </si>
  <si>
    <t>Po Box 1389</t>
  </si>
  <si>
    <t>Ballston Lake</t>
  </si>
  <si>
    <t>12019</t>
  </si>
  <si>
    <t>Brenda Kane</t>
  </si>
  <si>
    <t>Business Administrator</t>
  </si>
  <si>
    <t>brkane@bhbl.org</t>
  </si>
  <si>
    <t>518-399-9141ext. 85030</t>
  </si>
  <si>
    <t>520101060006</t>
  </si>
  <si>
    <t>521010106005</t>
  </si>
  <si>
    <t>521010106002</t>
  </si>
  <si>
    <t>521010106004</t>
  </si>
  <si>
    <t>521010106001</t>
  </si>
  <si>
    <t>Senior High School</t>
  </si>
  <si>
    <t>Middle/Junior High</t>
  </si>
  <si>
    <t>Elementary School</t>
  </si>
  <si>
    <t>K</t>
  </si>
  <si>
    <t>Y</t>
  </si>
  <si>
    <t>N</t>
  </si>
  <si>
    <t>A 9089.850-90-9000</t>
  </si>
  <si>
    <t>A 9089.860-90-9000</t>
  </si>
  <si>
    <t xml:space="preserve">A 5510.810-90-9000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</si>
</sst>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.00000000000000_);_(* \(#,##0.00000000000000\);_(* &quot;-&quot;??_);_(@_)"/>
    <numFmt numFmtId="165" formatCode="#,##0;\(#,##0\)"/>
    <numFmt numFmtId="166" formatCode="&quot;$&quot;#,##0.00"/>
    <numFmt numFmtId="167" formatCode="#,##0.0;\(#,##0.0\)"/>
    <numFmt numFmtId="168" formatCode="0.0"/>
    <numFmt numFmtId="169" formatCode="&quot;$&quot;#,##0"/>
    <numFmt numFmtId="170" formatCode="#,##0.0"/>
    <numFmt numFmtId="171" formatCode="#,##0.0_);\(#,##0.0\)"/>
    <numFmt numFmtId="172" formatCode="#,##&quot;$&quot;0"/>
    <numFmt numFmtId="173" formatCode="0.0%"/>
    <numFmt numFmtId="174" formatCode="_(* #,##0.0_);_(* \(#,##0.0\);_(* &quot;-&quot;??_);_(@_)"/>
    <numFmt numFmtId="175" formatCode="_(* #,##0_);_(* \(#,##0\);_(* &quot;-&quot;??_);_(@_)"/>
    <numFmt numFmtId="176" formatCode="###,##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0"/>
      <color theme="1"/>
      <name val="Palatino Linotype"/>
      <family val="1"/>
    </font>
    <font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Calibri"/>
      <family val="2"/>
      <scheme val="minor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0"/>
      <name val="Palatino Linotype"/>
      <family val="1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FF0000"/>
      <name val="Palatino Linotype"/>
      <family val="1"/>
    </font>
    <font>
      <sz val="11"/>
      <color rgb="FFFF0000"/>
      <name val="Palatino Linotype"/>
      <family val="1"/>
    </font>
    <font>
      <u val="singleAccounting"/>
      <sz val="12"/>
      <color theme="1"/>
      <name val="Calibri"/>
      <family val="2"/>
      <scheme val="minor"/>
    </font>
    <font>
      <b/>
      <sz val="11"/>
      <color rgb="FFFF0000"/>
      <name val="Palatino Linotype"/>
      <family val="1"/>
    </font>
    <font>
      <b/>
      <sz val="10"/>
      <color rgb="FFFF0000"/>
      <name val="Palatino Linotype"/>
      <family val="1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3300"/>
      <name val="Calibri"/>
      <family val="2"/>
      <scheme val="minor"/>
    </font>
    <font>
      <sz val="11"/>
      <color rgb="FFFF33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3F2E3"/>
        <bgColor indexed="64"/>
      </patternFill>
    </fill>
    <fill>
      <patternFill patternType="solid">
        <fgColor rgb="FFD9FFC5"/>
        <bgColor indexed="64"/>
      </patternFill>
    </fill>
    <fill>
      <patternFill patternType="lightGrid"/>
    </fill>
    <fill>
      <patternFill patternType="solid">
        <fgColor rgb="FF00FFFF"/>
        <bgColor indexed="64"/>
      </patternFill>
    </fill>
    <fill>
      <patternFill patternType="solid">
        <fgColor rgb="FF7AFF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2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4" xfId="0" applyBorder="1"/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9" xfId="0" applyNumberFormat="1" applyFill="1" applyBorder="1"/>
    <xf numFmtId="0" fontId="0" fillId="4" borderId="9" xfId="0" applyFill="1" applyBorder="1"/>
    <xf numFmtId="0" fontId="0" fillId="4" borderId="10" xfId="0" applyFill="1" applyBorder="1"/>
    <xf numFmtId="0" fontId="2" fillId="4" borderId="11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3" fontId="0" fillId="4" borderId="0" xfId="1" applyFont="1" applyFill="1" applyBorder="1"/>
    <xf numFmtId="43" fontId="0" fillId="4" borderId="12" xfId="1" applyFont="1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12" xfId="0" applyFill="1" applyBorder="1"/>
    <xf numFmtId="164" fontId="0" fillId="4" borderId="0" xfId="0" applyNumberFormat="1" applyFill="1" applyBorder="1"/>
    <xf numFmtId="43" fontId="0" fillId="4" borderId="0" xfId="0" applyNumberFormat="1" applyFill="1" applyBorder="1"/>
    <xf numFmtId="0" fontId="0" fillId="4" borderId="13" xfId="0" applyFill="1" applyBorder="1"/>
    <xf numFmtId="0" fontId="0" fillId="4" borderId="14" xfId="0" applyFill="1" applyBorder="1" applyAlignment="1">
      <alignment horizontal="center"/>
    </xf>
    <xf numFmtId="49" fontId="0" fillId="4" borderId="14" xfId="0" applyNumberFormat="1" applyFill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0" fillId="5" borderId="3" xfId="0" applyFill="1" applyBorder="1"/>
    <xf numFmtId="0" fontId="2" fillId="0" borderId="0" xfId="0" applyFont="1"/>
    <xf numFmtId="0" fontId="6" fillId="9" borderId="0" xfId="0" applyFont="1" applyFill="1" applyBorder="1" applyAlignment="1">
      <alignment horizontal="center"/>
    </xf>
    <xf numFmtId="0" fontId="0" fillId="0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29" xfId="0" applyFont="1" applyBorder="1" applyAlignment="1">
      <alignment horizontal="center"/>
    </xf>
    <xf numFmtId="165" fontId="9" fillId="0" borderId="17" xfId="0" applyNumberFormat="1" applyFont="1" applyBorder="1"/>
    <xf numFmtId="165" fontId="11" fillId="0" borderId="0" xfId="0" applyNumberFormat="1" applyFont="1"/>
    <xf numFmtId="0" fontId="11" fillId="0" borderId="29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68" fontId="9" fillId="0" borderId="17" xfId="0" applyNumberFormat="1" applyFont="1" applyBorder="1" applyAlignment="1">
      <alignment horizontal="right" wrapText="1"/>
    </xf>
    <xf numFmtId="49" fontId="11" fillId="0" borderId="0" xfId="0" applyNumberFormat="1" applyFont="1" applyAlignment="1">
      <alignment horizontal="center"/>
    </xf>
    <xf numFmtId="168" fontId="11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0" fontId="17" fillId="0" borderId="0" xfId="0" applyFont="1"/>
    <xf numFmtId="165" fontId="17" fillId="0" borderId="0" xfId="0" applyNumberFormat="1" applyFont="1"/>
    <xf numFmtId="0" fontId="11" fillId="0" borderId="24" xfId="0" applyFont="1" applyBorder="1"/>
    <xf numFmtId="0" fontId="11" fillId="0" borderId="25" xfId="0" applyFont="1" applyBorder="1"/>
    <xf numFmtId="0" fontId="11" fillId="0" borderId="29" xfId="0" applyFont="1" applyBorder="1"/>
    <xf numFmtId="0" fontId="11" fillId="0" borderId="26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169" fontId="9" fillId="0" borderId="32" xfId="0" applyNumberFormat="1" applyFont="1" applyBorder="1"/>
    <xf numFmtId="169" fontId="9" fillId="0" borderId="17" xfId="0" applyNumberFormat="1" applyFont="1" applyBorder="1"/>
    <xf numFmtId="169" fontId="11" fillId="0" borderId="0" xfId="0" applyNumberFormat="1" applyFont="1"/>
    <xf numFmtId="0" fontId="9" fillId="0" borderId="29" xfId="0" applyFont="1" applyBorder="1"/>
    <xf numFmtId="171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3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165" fontId="9" fillId="0" borderId="0" xfId="0" applyNumberFormat="1" applyFont="1"/>
    <xf numFmtId="172" fontId="9" fillId="0" borderId="0" xfId="0" applyNumberFormat="1" applyFont="1"/>
    <xf numFmtId="0" fontId="11" fillId="0" borderId="0" xfId="0" applyFont="1" applyAlignment="1">
      <alignment horizontal="left" indent="1"/>
    </xf>
    <xf numFmtId="10" fontId="11" fillId="0" borderId="0" xfId="0" applyNumberFormat="1" applyFont="1"/>
    <xf numFmtId="0" fontId="19" fillId="0" borderId="0" xfId="0" applyFont="1" applyAlignment="1">
      <alignment horizontal="center"/>
    </xf>
    <xf numFmtId="43" fontId="4" fillId="6" borderId="0" xfId="1" applyFont="1" applyFill="1" applyAlignment="1">
      <alignment horizontal="center"/>
    </xf>
    <xf numFmtId="43" fontId="4" fillId="6" borderId="0" xfId="1" applyFont="1" applyFill="1" applyAlignment="1">
      <alignment horizontal="center" wrapText="1"/>
    </xf>
    <xf numFmtId="43" fontId="4" fillId="0" borderId="0" xfId="1" applyFont="1" applyAlignment="1">
      <alignment horizontal="center"/>
    </xf>
    <xf numFmtId="43" fontId="23" fillId="0" borderId="0" xfId="1" applyFont="1" applyAlignment="1">
      <alignment horizontal="center" wrapText="1"/>
    </xf>
    <xf numFmtId="0" fontId="0" fillId="0" borderId="0" xfId="0" applyAlignment="1">
      <alignment wrapText="1"/>
    </xf>
    <xf numFmtId="43" fontId="0" fillId="0" borderId="2" xfId="0" applyNumberFormat="1" applyBorder="1"/>
    <xf numFmtId="0" fontId="10" fillId="0" borderId="0" xfId="0" applyFont="1" applyFill="1"/>
    <xf numFmtId="0" fontId="2" fillId="4" borderId="0" xfId="0" applyFont="1" applyFill="1" applyBorder="1" applyAlignment="1">
      <alignment horizontal="center"/>
    </xf>
    <xf numFmtId="43" fontId="2" fillId="0" borderId="2" xfId="1" applyFont="1" applyBorder="1"/>
    <xf numFmtId="43" fontId="2" fillId="0" borderId="0" xfId="1" applyFont="1"/>
    <xf numFmtId="0" fontId="2" fillId="0" borderId="0" xfId="0" applyFont="1" applyAlignment="1">
      <alignment wrapText="1"/>
    </xf>
    <xf numFmtId="43" fontId="2" fillId="0" borderId="0" xfId="1" applyFont="1" applyBorder="1"/>
    <xf numFmtId="43" fontId="5" fillId="0" borderId="0" xfId="1" applyFont="1"/>
    <xf numFmtId="43" fontId="0" fillId="0" borderId="0" xfId="1" applyFont="1" applyFill="1"/>
    <xf numFmtId="0" fontId="2" fillId="0" borderId="0" xfId="0" applyFont="1" applyFill="1"/>
    <xf numFmtId="43" fontId="2" fillId="0" borderId="2" xfId="1" applyFont="1" applyFill="1" applyBorder="1"/>
    <xf numFmtId="43" fontId="2" fillId="0" borderId="0" xfId="1" applyFont="1" applyFill="1"/>
    <xf numFmtId="0" fontId="25" fillId="0" borderId="0" xfId="0" applyFont="1"/>
    <xf numFmtId="43" fontId="9" fillId="0" borderId="32" xfId="0" quotePrefix="1" applyNumberFormat="1" applyFont="1" applyBorder="1"/>
    <xf numFmtId="169" fontId="9" fillId="0" borderId="23" xfId="0" applyNumberFormat="1" applyFont="1" applyBorder="1"/>
    <xf numFmtId="169" fontId="11" fillId="2" borderId="3" xfId="0" applyNumberFormat="1" applyFont="1" applyFill="1" applyBorder="1"/>
    <xf numFmtId="0" fontId="31" fillId="0" borderId="0" xfId="0" applyFont="1"/>
    <xf numFmtId="0" fontId="10" fillId="0" borderId="3" xfId="0" applyFont="1" applyBorder="1"/>
    <xf numFmtId="0" fontId="9" fillId="0" borderId="0" xfId="0" applyFont="1" applyFill="1"/>
    <xf numFmtId="0" fontId="12" fillId="0" borderId="0" xfId="0" applyFont="1" applyFill="1"/>
    <xf numFmtId="0" fontId="11" fillId="0" borderId="29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7" fontId="9" fillId="0" borderId="32" xfId="0" applyNumberFormat="1" applyFont="1" applyFill="1" applyBorder="1"/>
    <xf numFmtId="169" fontId="9" fillId="0" borderId="32" xfId="0" applyNumberFormat="1" applyFont="1" applyFill="1" applyBorder="1"/>
    <xf numFmtId="169" fontId="9" fillId="0" borderId="23" xfId="0" applyNumberFormat="1" applyFont="1" applyFill="1" applyBorder="1"/>
    <xf numFmtId="169" fontId="11" fillId="8" borderId="3" xfId="0" applyNumberFormat="1" applyFont="1" applyFill="1" applyBorder="1"/>
    <xf numFmtId="7" fontId="9" fillId="0" borderId="23" xfId="0" applyNumberFormat="1" applyFont="1" applyFill="1" applyBorder="1"/>
    <xf numFmtId="5" fontId="10" fillId="0" borderId="3" xfId="0" applyNumberFormat="1" applyFont="1" applyFill="1" applyBorder="1"/>
    <xf numFmtId="0" fontId="3" fillId="13" borderId="0" xfId="0" applyFont="1" applyFill="1"/>
    <xf numFmtId="0" fontId="3" fillId="14" borderId="0" xfId="0" applyFont="1" applyFill="1"/>
    <xf numFmtId="0" fontId="3" fillId="15" borderId="0" xfId="0" applyFont="1" applyFill="1"/>
    <xf numFmtId="5" fontId="10" fillId="0" borderId="3" xfId="0" applyNumberFormat="1" applyFont="1" applyBorder="1"/>
    <xf numFmtId="0" fontId="3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23" xfId="0" applyNumberFormat="1" applyFont="1" applyBorder="1" applyAlignment="1">
      <alignment horizontal="center" wrapText="1"/>
    </xf>
    <xf numFmtId="43" fontId="11" fillId="0" borderId="23" xfId="0" applyNumberFormat="1" applyFont="1" applyBorder="1" applyAlignment="1">
      <alignment horizontal="left" wrapText="1"/>
    </xf>
    <xf numFmtId="49" fontId="11" fillId="0" borderId="32" xfId="0" applyNumberFormat="1" applyFont="1" applyBorder="1" applyAlignment="1">
      <alignment horizontal="center" wrapText="1"/>
    </xf>
    <xf numFmtId="43" fontId="11" fillId="0" borderId="17" xfId="0" applyNumberFormat="1" applyFont="1" applyBorder="1" applyAlignment="1">
      <alignment horizontal="left" wrapText="1"/>
    </xf>
    <xf numFmtId="0" fontId="34" fillId="0" borderId="8" xfId="0" applyFont="1" applyBorder="1"/>
    <xf numFmtId="0" fontId="34" fillId="0" borderId="9" xfId="0" applyFont="1" applyBorder="1"/>
    <xf numFmtId="0" fontId="34" fillId="0" borderId="10" xfId="0" applyFont="1" applyBorder="1"/>
    <xf numFmtId="0" fontId="34" fillId="0" borderId="11" xfId="0" applyFont="1" applyBorder="1"/>
    <xf numFmtId="0" fontId="34" fillId="0" borderId="0" xfId="0" applyFont="1" applyBorder="1"/>
    <xf numFmtId="0" fontId="34" fillId="0" borderId="12" xfId="0" applyFont="1" applyBorder="1"/>
    <xf numFmtId="0" fontId="34" fillId="0" borderId="13" xfId="0" applyFont="1" applyBorder="1"/>
    <xf numFmtId="0" fontId="34" fillId="0" borderId="14" xfId="0" applyFont="1" applyBorder="1"/>
    <xf numFmtId="0" fontId="34" fillId="0" borderId="15" xfId="0" applyFont="1" applyBorder="1"/>
    <xf numFmtId="49" fontId="11" fillId="0" borderId="23" xfId="0" applyNumberFormat="1" applyFont="1" applyBorder="1" applyAlignment="1">
      <alignment horizontal="left" wrapText="1"/>
    </xf>
    <xf numFmtId="49" fontId="11" fillId="0" borderId="32" xfId="0" applyNumberFormat="1" applyFont="1" applyBorder="1" applyAlignment="1">
      <alignment horizontal="left" wrapText="1"/>
    </xf>
    <xf numFmtId="43" fontId="11" fillId="0" borderId="17" xfId="1" applyFont="1" applyFill="1" applyBorder="1" applyAlignment="1">
      <alignment horizontal="center" wrapText="1"/>
    </xf>
    <xf numFmtId="175" fontId="11" fillId="0" borderId="17" xfId="1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wrapText="1"/>
    </xf>
    <xf numFmtId="2" fontId="10" fillId="0" borderId="3" xfId="0" applyNumberFormat="1" applyFont="1" applyBorder="1"/>
    <xf numFmtId="0" fontId="10" fillId="0" borderId="0" xfId="0" applyFont="1" applyAlignment="1">
      <alignment horizontal="left"/>
    </xf>
    <xf numFmtId="43" fontId="19" fillId="0" borderId="0" xfId="1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43" fontId="19" fillId="0" borderId="0" xfId="1" applyFont="1" applyAlignment="1" applyProtection="1">
      <alignment horizontal="center"/>
      <protection locked="0"/>
    </xf>
    <xf numFmtId="43" fontId="20" fillId="0" borderId="17" xfId="1" applyFont="1" applyBorder="1" applyAlignment="1" applyProtection="1">
      <alignment horizontal="center" wrapText="1"/>
      <protection locked="0"/>
    </xf>
    <xf numFmtId="43" fontId="20" fillId="0" borderId="0" xfId="1" applyFont="1" applyBorder="1" applyAlignment="1" applyProtection="1">
      <alignment horizontal="center" wrapText="1"/>
      <protection locked="0"/>
    </xf>
    <xf numFmtId="43" fontId="20" fillId="0" borderId="0" xfId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43" fontId="32" fillId="0" borderId="0" xfId="1" applyFont="1" applyAlignment="1" applyProtection="1">
      <alignment horizontal="center" wrapText="1"/>
      <protection locked="0"/>
    </xf>
    <xf numFmtId="43" fontId="23" fillId="0" borderId="0" xfId="1" applyFont="1" applyAlignment="1" applyProtection="1">
      <alignment horizontal="center" wrapText="1"/>
      <protection locked="0"/>
    </xf>
    <xf numFmtId="43" fontId="4" fillId="6" borderId="0" xfId="1" applyFont="1" applyFill="1" applyAlignment="1" applyProtection="1">
      <alignment horizontal="center" wrapText="1"/>
      <protection locked="0"/>
    </xf>
    <xf numFmtId="43" fontId="4" fillId="6" borderId="0" xfId="1" applyFont="1" applyFill="1" applyAlignment="1" applyProtection="1">
      <alignment horizontal="center"/>
      <protection locked="0"/>
    </xf>
    <xf numFmtId="43" fontId="4" fillId="0" borderId="0" xfId="1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3" fontId="0" fillId="0" borderId="0" xfId="1" applyFont="1" applyAlignment="1" applyProtection="1">
      <alignment horizontal="center"/>
      <protection locked="0"/>
    </xf>
    <xf numFmtId="43" fontId="19" fillId="3" borderId="0" xfId="1" applyFont="1" applyFill="1" applyProtection="1">
      <protection locked="0"/>
    </xf>
    <xf numFmtId="43" fontId="19" fillId="3" borderId="0" xfId="1" applyFont="1" applyFill="1" applyAlignment="1" applyProtection="1">
      <alignment horizontal="center"/>
      <protection locked="0"/>
    </xf>
    <xf numFmtId="43" fontId="0" fillId="3" borderId="0" xfId="1" applyFont="1" applyFill="1" applyAlignment="1" applyProtection="1">
      <protection locked="0"/>
    </xf>
    <xf numFmtId="43" fontId="19" fillId="0" borderId="0" xfId="0" applyNumberFormat="1" applyFont="1" applyProtection="1">
      <protection locked="0"/>
    </xf>
    <xf numFmtId="0" fontId="19" fillId="3" borderId="0" xfId="0" applyFont="1" applyFill="1" applyProtection="1">
      <protection locked="0"/>
    </xf>
    <xf numFmtId="43" fontId="19" fillId="0" borderId="36" xfId="1" applyFont="1" applyBorder="1" applyProtection="1">
      <protection locked="0"/>
    </xf>
    <xf numFmtId="43" fontId="19" fillId="0" borderId="0" xfId="1" applyFont="1" applyFill="1" applyProtection="1">
      <protection locked="0"/>
    </xf>
    <xf numFmtId="43" fontId="19" fillId="0" borderId="0" xfId="1" applyFont="1" applyFill="1" applyAlignment="1" applyProtection="1">
      <alignment horizontal="center"/>
      <protection locked="0"/>
    </xf>
    <xf numFmtId="43" fontId="19" fillId="0" borderId="0" xfId="1" applyFont="1" applyFill="1" applyAlignment="1" applyProtection="1">
      <alignment horizontal="right"/>
      <protection locked="0"/>
    </xf>
    <xf numFmtId="43" fontId="19" fillId="3" borderId="29" xfId="1" applyFont="1" applyFill="1" applyBorder="1" applyProtection="1">
      <protection locked="0"/>
    </xf>
    <xf numFmtId="43" fontId="19" fillId="3" borderId="19" xfId="1" applyFont="1" applyFill="1" applyBorder="1" applyProtection="1">
      <protection locked="0"/>
    </xf>
    <xf numFmtId="43" fontId="19" fillId="0" borderId="0" xfId="1" applyFont="1" applyFill="1" applyBorder="1" applyProtection="1">
      <protection locked="0"/>
    </xf>
    <xf numFmtId="43" fontId="19" fillId="8" borderId="2" xfId="1" applyFont="1" applyFill="1" applyBorder="1" applyProtection="1">
      <protection locked="0"/>
    </xf>
    <xf numFmtId="43" fontId="19" fillId="0" borderId="2" xfId="1" applyFont="1" applyBorder="1" applyProtection="1">
      <protection locked="0"/>
    </xf>
    <xf numFmtId="0" fontId="20" fillId="0" borderId="26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3" fontId="20" fillId="0" borderId="0" xfId="1" applyFont="1" applyProtection="1">
      <protection locked="0"/>
    </xf>
    <xf numFmtId="43" fontId="20" fillId="0" borderId="0" xfId="1" applyFont="1" applyAlignment="1" applyProtection="1">
      <alignment horizontal="center"/>
      <protection locked="0"/>
    </xf>
    <xf numFmtId="43" fontId="20" fillId="0" borderId="2" xfId="1" applyFont="1" applyBorder="1" applyProtection="1">
      <protection locked="0"/>
    </xf>
    <xf numFmtId="0" fontId="19" fillId="0" borderId="0" xfId="0" applyFont="1" applyAlignment="1" applyProtection="1">
      <alignment horizontal="center"/>
    </xf>
    <xf numFmtId="43" fontId="19" fillId="0" borderId="0" xfId="1" applyFont="1" applyProtection="1"/>
    <xf numFmtId="43" fontId="0" fillId="0" borderId="0" xfId="1" applyFont="1" applyAlignment="1" applyProtection="1">
      <alignment horizontal="center"/>
    </xf>
    <xf numFmtId="43" fontId="19" fillId="0" borderId="0" xfId="1" applyFont="1" applyAlignment="1" applyProtection="1">
      <alignment horizontal="right"/>
    </xf>
    <xf numFmtId="0" fontId="0" fillId="12" borderId="19" xfId="0" applyFill="1" applyBorder="1" applyAlignment="1" applyProtection="1">
      <protection locked="0"/>
    </xf>
    <xf numFmtId="2" fontId="0" fillId="3" borderId="17" xfId="0" applyNumberFormat="1" applyFill="1" applyBorder="1" applyAlignment="1" applyProtection="1">
      <protection locked="0"/>
    </xf>
    <xf numFmtId="2" fontId="0" fillId="12" borderId="19" xfId="0" applyNumberFormat="1" applyFill="1" applyBorder="1" applyAlignment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12" borderId="17" xfId="0" applyFill="1" applyBorder="1" applyAlignment="1" applyProtection="1">
      <protection locked="0"/>
    </xf>
    <xf numFmtId="0" fontId="0" fillId="3" borderId="17" xfId="0" applyFill="1" applyBorder="1" applyProtection="1">
      <protection locked="0"/>
    </xf>
    <xf numFmtId="2" fontId="0" fillId="3" borderId="17" xfId="1" applyNumberFormat="1" applyFont="1" applyFill="1" applyBorder="1" applyProtection="1">
      <protection locked="0"/>
    </xf>
    <xf numFmtId="2" fontId="0" fillId="12" borderId="17" xfId="1" applyNumberFormat="1" applyFont="1" applyFill="1" applyBorder="1" applyAlignment="1" applyProtection="1">
      <protection locked="0"/>
    </xf>
    <xf numFmtId="43" fontId="0" fillId="7" borderId="3" xfId="1" applyFon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43" fontId="0" fillId="0" borderId="0" xfId="1" applyFont="1" applyProtection="1"/>
    <xf numFmtId="0" fontId="0" fillId="0" borderId="0" xfId="0" applyProtection="1"/>
    <xf numFmtId="0" fontId="2" fillId="0" borderId="0" xfId="0" applyFont="1" applyProtection="1"/>
    <xf numFmtId="43" fontId="24" fillId="0" borderId="0" xfId="1" applyFont="1" applyAlignment="1" applyProtection="1">
      <alignment horizontal="center"/>
    </xf>
    <xf numFmtId="0" fontId="2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4" fillId="0" borderId="26" xfId="0" applyFont="1" applyBorder="1" applyProtection="1"/>
    <xf numFmtId="0" fontId="0" fillId="0" borderId="0" xfId="0" applyAlignment="1" applyProtection="1">
      <alignment wrapText="1"/>
    </xf>
    <xf numFmtId="0" fontId="9" fillId="0" borderId="26" xfId="0" applyFont="1" applyBorder="1" applyAlignment="1" applyProtection="1">
      <alignment horizontal="left" indent="1"/>
    </xf>
    <xf numFmtId="43" fontId="0" fillId="0" borderId="0" xfId="0" applyNumberFormat="1" applyProtection="1"/>
    <xf numFmtId="0" fontId="11" fillId="0" borderId="26" xfId="0" applyFont="1" applyBorder="1" applyProtection="1"/>
    <xf numFmtId="43" fontId="0" fillId="0" borderId="2" xfId="1" applyFont="1" applyBorder="1" applyProtection="1"/>
    <xf numFmtId="43" fontId="0" fillId="0" borderId="2" xfId="0" applyNumberFormat="1" applyBorder="1" applyProtection="1"/>
    <xf numFmtId="0" fontId="5" fillId="0" borderId="0" xfId="0" applyFont="1" applyProtection="1"/>
    <xf numFmtId="43" fontId="0" fillId="8" borderId="3" xfId="1" applyFont="1" applyFill="1" applyBorder="1" applyProtection="1"/>
    <xf numFmtId="43" fontId="24" fillId="0" borderId="0" xfId="1" applyFont="1" applyAlignment="1" applyProtection="1">
      <alignment horizontal="center" wrapText="1"/>
    </xf>
    <xf numFmtId="43" fontId="0" fillId="16" borderId="0" xfId="1" applyFont="1" applyFill="1" applyProtection="1"/>
    <xf numFmtId="43" fontId="0" fillId="16" borderId="0" xfId="0" applyNumberFormat="1" applyFill="1" applyProtection="1"/>
    <xf numFmtId="0" fontId="0" fillId="16" borderId="0" xfId="0" applyFill="1" applyProtection="1"/>
    <xf numFmtId="43" fontId="0" fillId="0" borderId="0" xfId="1" applyFont="1" applyFill="1" applyProtection="1"/>
    <xf numFmtId="43" fontId="0" fillId="0" borderId="0" xfId="0" applyNumberFormat="1" applyFill="1" applyProtection="1"/>
    <xf numFmtId="0" fontId="0" fillId="0" borderId="0" xfId="0" applyFill="1" applyProtection="1"/>
    <xf numFmtId="0" fontId="14" fillId="0" borderId="26" xfId="0" quotePrefix="1" applyFont="1" applyBorder="1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0" fillId="0" borderId="2" xfId="0" applyBorder="1" applyProtection="1"/>
    <xf numFmtId="0" fontId="11" fillId="0" borderId="0" xfId="0" applyFont="1" applyBorder="1" applyAlignment="1" applyProtection="1">
      <alignment horizontal="center" wrapText="1"/>
    </xf>
    <xf numFmtId="0" fontId="11" fillId="0" borderId="17" xfId="0" applyFont="1" applyBorder="1" applyAlignment="1" applyProtection="1">
      <alignment horizontal="center" wrapText="1"/>
    </xf>
    <xf numFmtId="2" fontId="0" fillId="12" borderId="17" xfId="1" applyNumberFormat="1" applyFont="1" applyFill="1" applyBorder="1" applyAlignment="1" applyProtection="1"/>
    <xf numFmtId="0" fontId="11" fillId="0" borderId="26" xfId="0" applyFont="1" applyBorder="1" applyAlignment="1" applyProtection="1">
      <alignment horizontal="left"/>
    </xf>
    <xf numFmtId="0" fontId="14" fillId="0" borderId="26" xfId="0" applyFont="1" applyBorder="1" applyAlignment="1" applyProtection="1">
      <alignment horizontal="left"/>
    </xf>
    <xf numFmtId="0" fontId="11" fillId="0" borderId="29" xfId="0" applyFont="1" applyBorder="1" applyAlignment="1" applyProtection="1">
      <alignment horizontal="center" wrapText="1"/>
    </xf>
    <xf numFmtId="0" fontId="2" fillId="0" borderId="0" xfId="0" applyFont="1" applyFill="1" applyBorder="1" applyProtection="1"/>
    <xf numFmtId="174" fontId="0" fillId="0" borderId="0" xfId="1" applyNumberFormat="1" applyFont="1" applyFill="1" applyBorder="1" applyProtection="1"/>
    <xf numFmtId="43" fontId="0" fillId="0" borderId="1" xfId="1" applyFont="1" applyBorder="1" applyProtection="1"/>
    <xf numFmtId="43" fontId="0" fillId="0" borderId="0" xfId="1" applyFont="1" applyBorder="1" applyProtection="1"/>
    <xf numFmtId="43" fontId="0" fillId="0" borderId="7" xfId="1" applyFont="1" applyBorder="1" applyProtection="1"/>
    <xf numFmtId="43" fontId="2" fillId="0" borderId="0" xfId="1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1" fillId="0" borderId="23" xfId="0" applyFont="1" applyBorder="1" applyProtection="1"/>
    <xf numFmtId="5" fontId="9" fillId="0" borderId="24" xfId="0" applyNumberFormat="1" applyFont="1" applyBorder="1" applyProtection="1"/>
    <xf numFmtId="0" fontId="9" fillId="0" borderId="24" xfId="0" applyFont="1" applyBorder="1" applyProtection="1"/>
    <xf numFmtId="0" fontId="13" fillId="0" borderId="24" xfId="0" applyFont="1" applyBorder="1" applyAlignment="1" applyProtection="1">
      <alignment horizontal="left" indent="2"/>
    </xf>
    <xf numFmtId="0" fontId="9" fillId="0" borderId="25" xfId="0" applyFont="1" applyBorder="1" applyProtection="1"/>
    <xf numFmtId="0" fontId="9" fillId="0" borderId="26" xfId="0" applyFont="1" applyBorder="1" applyProtection="1"/>
    <xf numFmtId="0" fontId="9" fillId="0" borderId="0" xfId="0" applyFont="1" applyAlignment="1" applyProtection="1">
      <alignment horizontal="left" indent="2"/>
    </xf>
    <xf numFmtId="0" fontId="9" fillId="0" borderId="20" xfId="0" applyFont="1" applyBorder="1" applyProtection="1"/>
    <xf numFmtId="0" fontId="9" fillId="0" borderId="16" xfId="0" applyFont="1" applyBorder="1" applyAlignment="1" applyProtection="1">
      <alignment horizontal="left" indent="2"/>
    </xf>
    <xf numFmtId="0" fontId="9" fillId="0" borderId="16" xfId="0" applyFont="1" applyBorder="1" applyProtection="1"/>
    <xf numFmtId="5" fontId="9" fillId="0" borderId="0" xfId="0" applyNumberFormat="1" applyFont="1" applyProtection="1"/>
    <xf numFmtId="0" fontId="9" fillId="0" borderId="23" xfId="0" applyFont="1" applyBorder="1" applyProtection="1"/>
    <xf numFmtId="5" fontId="11" fillId="0" borderId="27" xfId="0" applyNumberFormat="1" applyFont="1" applyBorder="1" applyAlignment="1" applyProtection="1">
      <alignment horizontal="center" wrapText="1"/>
    </xf>
    <xf numFmtId="5" fontId="11" fillId="0" borderId="19" xfId="0" applyNumberFormat="1" applyFont="1" applyBorder="1" applyAlignment="1" applyProtection="1">
      <alignment horizontal="center" wrapText="1"/>
    </xf>
    <xf numFmtId="5" fontId="11" fillId="0" borderId="1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5" fontId="9" fillId="0" borderId="17" xfId="0" applyNumberFormat="1" applyFont="1" applyBorder="1" applyProtection="1"/>
    <xf numFmtId="43" fontId="9" fillId="0" borderId="17" xfId="0" applyNumberFormat="1" applyFont="1" applyBorder="1" applyProtection="1"/>
    <xf numFmtId="5" fontId="11" fillId="0" borderId="0" xfId="0" applyNumberFormat="1" applyFont="1" applyProtection="1"/>
    <xf numFmtId="5" fontId="11" fillId="0" borderId="29" xfId="0" applyNumberFormat="1" applyFont="1" applyBorder="1" applyAlignment="1" applyProtection="1">
      <alignment horizontal="center" wrapText="1"/>
    </xf>
    <xf numFmtId="0" fontId="11" fillId="0" borderId="29" xfId="0" applyFont="1" applyBorder="1" applyAlignment="1" applyProtection="1">
      <alignment horizontal="center"/>
    </xf>
    <xf numFmtId="2" fontId="9" fillId="0" borderId="17" xfId="1" applyNumberFormat="1" applyFont="1" applyFill="1" applyBorder="1" applyProtection="1"/>
    <xf numFmtId="2" fontId="9" fillId="0" borderId="17" xfId="0" applyNumberFormat="1" applyFont="1" applyFill="1" applyBorder="1" applyProtection="1"/>
    <xf numFmtId="165" fontId="11" fillId="0" borderId="0" xfId="0" applyNumberFormat="1" applyFont="1" applyProtection="1"/>
    <xf numFmtId="5" fontId="11" fillId="0" borderId="0" xfId="0" applyNumberFormat="1" applyFont="1" applyAlignment="1" applyProtection="1">
      <alignment horizontal="right"/>
    </xf>
    <xf numFmtId="165" fontId="9" fillId="0" borderId="17" xfId="0" applyNumberFormat="1" applyFont="1" applyFill="1" applyBorder="1" applyProtection="1"/>
    <xf numFmtId="0" fontId="11" fillId="0" borderId="20" xfId="0" applyFont="1" applyBorder="1" applyProtection="1"/>
    <xf numFmtId="166" fontId="11" fillId="0" borderId="16" xfId="0" applyNumberFormat="1" applyFont="1" applyBorder="1" applyAlignment="1" applyProtection="1">
      <alignment horizontal="right"/>
    </xf>
    <xf numFmtId="0" fontId="9" fillId="0" borderId="30" xfId="0" applyFont="1" applyBorder="1" applyProtection="1"/>
    <xf numFmtId="0" fontId="11" fillId="0" borderId="19" xfId="0" applyFont="1" applyBorder="1" applyAlignment="1" applyProtection="1">
      <alignment horizontal="center"/>
    </xf>
    <xf numFmtId="0" fontId="10" fillId="0" borderId="0" xfId="0" applyFont="1" applyFill="1" applyProtection="1"/>
    <xf numFmtId="167" fontId="9" fillId="0" borderId="17" xfId="0" applyNumberFormat="1" applyFont="1" applyBorder="1" applyProtection="1"/>
    <xf numFmtId="167" fontId="12" fillId="0" borderId="0" xfId="0" applyNumberFormat="1" applyFont="1" applyProtection="1"/>
    <xf numFmtId="167" fontId="11" fillId="0" borderId="0" xfId="0" applyNumberFormat="1" applyFont="1" applyProtection="1"/>
    <xf numFmtId="7" fontId="11" fillId="0" borderId="0" xfId="0" applyNumberFormat="1" applyFont="1" applyProtection="1"/>
    <xf numFmtId="37" fontId="11" fillId="0" borderId="0" xfId="0" applyNumberFormat="1" applyFont="1" applyProtection="1"/>
    <xf numFmtId="5" fontId="9" fillId="0" borderId="17" xfId="0" applyNumberFormat="1" applyFont="1" applyFill="1" applyBorder="1" applyProtection="1"/>
    <xf numFmtId="0" fontId="11" fillId="0" borderId="26" xfId="0" applyFont="1" applyFill="1" applyBorder="1" applyAlignment="1" applyProtection="1">
      <alignment horizontal="left" indent="1"/>
    </xf>
    <xf numFmtId="7" fontId="11" fillId="0" borderId="0" xfId="0" applyNumberFormat="1" applyFont="1" applyFill="1" applyAlignment="1" applyProtection="1">
      <alignment horizontal="right"/>
    </xf>
    <xf numFmtId="7" fontId="11" fillId="0" borderId="0" xfId="0" applyNumberFormat="1" applyFont="1" applyAlignment="1" applyProtection="1">
      <alignment horizontal="right"/>
    </xf>
    <xf numFmtId="0" fontId="11" fillId="6" borderId="26" xfId="0" applyFont="1" applyFill="1" applyBorder="1" applyAlignment="1" applyProtection="1">
      <alignment horizontal="left"/>
    </xf>
    <xf numFmtId="5" fontId="11" fillId="6" borderId="0" xfId="0" applyNumberFormat="1" applyFont="1" applyFill="1" applyProtection="1"/>
    <xf numFmtId="7" fontId="11" fillId="0" borderId="16" xfId="0" applyNumberFormat="1" applyFont="1" applyBorder="1" applyAlignment="1" applyProtection="1">
      <alignment horizontal="right"/>
    </xf>
    <xf numFmtId="0" fontId="10" fillId="0" borderId="16" xfId="0" applyFont="1" applyBorder="1" applyProtection="1"/>
    <xf numFmtId="43" fontId="9" fillId="0" borderId="0" xfId="0" applyNumberFormat="1" applyFont="1" applyBorder="1" applyProtection="1"/>
    <xf numFmtId="43" fontId="9" fillId="0" borderId="0" xfId="0" applyNumberFormat="1" applyFont="1" applyProtection="1"/>
    <xf numFmtId="10" fontId="11" fillId="0" borderId="16" xfId="0" applyNumberFormat="1" applyFont="1" applyBorder="1" applyAlignment="1" applyProtection="1">
      <alignment horizontal="right"/>
    </xf>
    <xf numFmtId="49" fontId="9" fillId="0" borderId="32" xfId="0" quotePrefix="1" applyNumberFormat="1" applyFont="1" applyBorder="1" applyAlignment="1" applyProtection="1">
      <alignment horizontal="left" wrapText="1"/>
      <protection locked="0"/>
    </xf>
    <xf numFmtId="49" fontId="9" fillId="3" borderId="32" xfId="0" quotePrefix="1" applyNumberFormat="1" applyFont="1" applyFill="1" applyBorder="1" applyAlignment="1" applyProtection="1">
      <alignment horizontal="center" wrapText="1"/>
      <protection locked="0"/>
    </xf>
    <xf numFmtId="0" fontId="9" fillId="3" borderId="32" xfId="0" quotePrefix="1" applyFont="1" applyFill="1" applyBorder="1" applyAlignment="1" applyProtection="1">
      <alignment horizontal="center"/>
      <protection locked="0"/>
    </xf>
    <xf numFmtId="49" fontId="9" fillId="3" borderId="32" xfId="0" applyNumberFormat="1" applyFont="1" applyFill="1" applyBorder="1" applyProtection="1">
      <protection locked="0"/>
    </xf>
    <xf numFmtId="165" fontId="9" fillId="3" borderId="32" xfId="0" applyNumberFormat="1" applyFont="1" applyFill="1" applyBorder="1" applyAlignment="1" applyProtection="1">
      <alignment horizontal="right" wrapText="1"/>
      <protection locked="0"/>
    </xf>
    <xf numFmtId="168" fontId="9" fillId="3" borderId="32" xfId="0" applyNumberFormat="1" applyFont="1" applyFill="1" applyBorder="1" applyAlignment="1" applyProtection="1">
      <alignment horizontal="right" wrapText="1"/>
      <protection locked="0"/>
    </xf>
    <xf numFmtId="49" fontId="9" fillId="3" borderId="32" xfId="0" quotePrefix="1" applyNumberFormat="1" applyFont="1" applyFill="1" applyBorder="1" applyAlignment="1" applyProtection="1">
      <alignment horizontal="left" wrapText="1"/>
      <protection locked="0"/>
    </xf>
    <xf numFmtId="49" fontId="9" fillId="0" borderId="32" xfId="0" quotePrefix="1" applyNumberFormat="1" applyFont="1" applyFill="1" applyBorder="1"/>
    <xf numFmtId="0" fontId="11" fillId="3" borderId="23" xfId="0" applyFont="1" applyFill="1" applyBorder="1" applyAlignment="1" applyProtection="1">
      <alignment horizontal="center" wrapText="1"/>
      <protection locked="0"/>
    </xf>
    <xf numFmtId="0" fontId="11" fillId="3" borderId="17" xfId="0" applyFont="1" applyFill="1" applyBorder="1" applyAlignment="1" applyProtection="1">
      <alignment horizontal="center" wrapText="1"/>
      <protection locked="0"/>
    </xf>
    <xf numFmtId="49" fontId="9" fillId="3" borderId="32" xfId="0" quotePrefix="1" applyNumberFormat="1" applyFont="1" applyFill="1" applyBorder="1" applyProtection="1">
      <protection locked="0"/>
    </xf>
    <xf numFmtId="0" fontId="15" fillId="3" borderId="32" xfId="0" quotePrefix="1" applyFont="1" applyFill="1" applyBorder="1" applyAlignment="1" applyProtection="1">
      <alignment horizontal="center"/>
      <protection locked="0"/>
    </xf>
    <xf numFmtId="165" fontId="9" fillId="3" borderId="32" xfId="0" applyNumberFormat="1" applyFont="1" applyFill="1" applyBorder="1" applyProtection="1">
      <protection locked="0"/>
    </xf>
    <xf numFmtId="170" fontId="9" fillId="3" borderId="17" xfId="0" applyNumberFormat="1" applyFont="1" applyFill="1" applyBorder="1" applyProtection="1">
      <protection locked="0"/>
    </xf>
    <xf numFmtId="169" fontId="9" fillId="3" borderId="17" xfId="0" applyNumberFormat="1" applyFont="1" applyFill="1" applyBorder="1" applyProtection="1">
      <protection locked="0"/>
    </xf>
    <xf numFmtId="0" fontId="11" fillId="3" borderId="29" xfId="0" applyFont="1" applyFill="1" applyBorder="1" applyAlignment="1" applyProtection="1">
      <alignment horizontal="center" wrapText="1"/>
      <protection locked="0"/>
    </xf>
    <xf numFmtId="169" fontId="9" fillId="3" borderId="32" xfId="0" applyNumberFormat="1" applyFont="1" applyFill="1" applyBorder="1" applyProtection="1">
      <protection locked="0"/>
    </xf>
    <xf numFmtId="165" fontId="9" fillId="3" borderId="17" xfId="0" applyNumberFormat="1" applyFont="1" applyFill="1" applyBorder="1" applyAlignment="1" applyProtection="1">
      <alignment horizontal="center"/>
      <protection locked="0"/>
    </xf>
    <xf numFmtId="165" fontId="9" fillId="3" borderId="17" xfId="0" applyNumberFormat="1" applyFont="1" applyFill="1" applyBorder="1" applyProtection="1">
      <protection locked="0"/>
    </xf>
    <xf numFmtId="173" fontId="9" fillId="3" borderId="17" xfId="0" applyNumberFormat="1" applyFont="1" applyFill="1" applyBorder="1" applyProtection="1">
      <protection locked="0"/>
    </xf>
    <xf numFmtId="0" fontId="11" fillId="17" borderId="17" xfId="0" quotePrefix="1" applyFont="1" applyFill="1" applyBorder="1" applyAlignment="1" applyProtection="1">
      <alignment horizontal="center"/>
      <protection locked="0"/>
    </xf>
    <xf numFmtId="43" fontId="4" fillId="6" borderId="0" xfId="1" applyFont="1" applyFill="1" applyAlignment="1" applyProtection="1">
      <alignment horizontal="center" wrapText="1"/>
    </xf>
    <xf numFmtId="4" fontId="0" fillId="4" borderId="9" xfId="0" applyNumberFormat="1" applyFill="1" applyBorder="1" applyProtection="1"/>
    <xf numFmtId="0" fontId="0" fillId="4" borderId="9" xfId="0" applyFill="1" applyBorder="1" applyProtection="1"/>
    <xf numFmtId="43" fontId="0" fillId="4" borderId="0" xfId="1" applyFont="1" applyFill="1" applyBorder="1" applyProtection="1"/>
    <xf numFmtId="0" fontId="0" fillId="4" borderId="0" xfId="0" applyFill="1" applyBorder="1" applyProtection="1"/>
    <xf numFmtId="43" fontId="0" fillId="4" borderId="0" xfId="0" applyNumberFormat="1" applyFill="1" applyBorder="1" applyProtection="1"/>
    <xf numFmtId="0" fontId="0" fillId="4" borderId="14" xfId="0" applyFill="1" applyBorder="1" applyProtection="1"/>
    <xf numFmtId="43" fontId="19" fillId="2" borderId="0" xfId="1" applyFont="1" applyFill="1" applyProtection="1">
      <protection locked="0"/>
    </xf>
    <xf numFmtId="0" fontId="0" fillId="0" borderId="0" xfId="0" applyProtection="1">
      <protection hidden="1"/>
    </xf>
    <xf numFmtId="43" fontId="36" fillId="18" borderId="17" xfId="1" applyFont="1" applyFill="1" applyBorder="1" applyAlignment="1" applyProtection="1">
      <alignment horizontal="center" wrapText="1"/>
      <protection locked="0"/>
    </xf>
    <xf numFmtId="10" fontId="19" fillId="0" borderId="0" xfId="2" applyNumberFormat="1" applyFont="1" applyProtection="1">
      <protection locked="0"/>
    </xf>
    <xf numFmtId="43" fontId="37" fillId="0" borderId="0" xfId="1" applyFont="1" applyAlignment="1" applyProtection="1">
      <protection locked="0"/>
    </xf>
    <xf numFmtId="43" fontId="19" fillId="19" borderId="0" xfId="1" applyFont="1" applyFill="1" applyAlignment="1" applyProtection="1">
      <alignment horizontal="right"/>
      <protection locked="0"/>
    </xf>
    <xf numFmtId="43" fontId="37" fillId="19" borderId="0" xfId="1" applyFont="1" applyFill="1" applyAlignment="1" applyProtection="1">
      <alignment wrapText="1"/>
      <protection locked="0"/>
    </xf>
    <xf numFmtId="43" fontId="11" fillId="0" borderId="0" xfId="0" applyNumberFormat="1" applyFont="1" applyProtection="1"/>
    <xf numFmtId="43" fontId="19" fillId="0" borderId="36" xfId="1" applyNumberFormat="1" applyFont="1" applyBorder="1" applyProtection="1">
      <protection locked="0"/>
    </xf>
    <xf numFmtId="0" fontId="40" fillId="0" borderId="0" xfId="0" applyFont="1" applyProtection="1">
      <protection locked="0"/>
    </xf>
    <xf numFmtId="43" fontId="0" fillId="2" borderId="0" xfId="1" applyFont="1" applyFill="1" applyProtection="1"/>
    <xf numFmtId="43" fontId="0" fillId="2" borderId="0" xfId="1" applyFont="1" applyFill="1"/>
    <xf numFmtId="43" fontId="2" fillId="2" borderId="2" xfId="1" applyFont="1" applyFill="1" applyBorder="1" applyProtection="1"/>
    <xf numFmtId="43" fontId="0" fillId="2" borderId="0" xfId="0" applyNumberFormat="1" applyFill="1" applyProtection="1"/>
    <xf numFmtId="43" fontId="0" fillId="0" borderId="0" xfId="1" applyFont="1" applyAlignment="1" applyProtection="1">
      <alignment horizontal="center"/>
    </xf>
    <xf numFmtId="0" fontId="0" fillId="3" borderId="0" xfId="0" applyNumberFormat="1" applyFill="1" applyAlignment="1"/>
    <xf numFmtId="176" fontId="0" fillId="3" borderId="0" xfId="0" applyNumberFormat="1" applyFill="1" applyAlignment="1"/>
    <xf numFmtId="0" fontId="0" fillId="3" borderId="0" xfId="0" applyNumberFormat="1" applyFill="1" applyAlignment="1">
      <alignment vertical="top" wrapText="1"/>
    </xf>
    <xf numFmtId="43" fontId="41" fillId="3" borderId="0" xfId="1" applyFont="1" applyFill="1" applyProtection="1">
      <protection locked="0"/>
    </xf>
    <xf numFmtId="0" fontId="42" fillId="3" borderId="0" xfId="0" applyNumberFormat="1" applyFont="1" applyFill="1" applyAlignment="1"/>
    <xf numFmtId="43" fontId="43" fillId="0" borderId="0" xfId="1" applyFont="1" applyProtection="1"/>
    <xf numFmtId="0" fontId="44" fillId="3" borderId="0" xfId="0" applyNumberFormat="1" applyFont="1" applyFill="1" applyAlignment="1"/>
    <xf numFmtId="43" fontId="5" fillId="2" borderId="0" xfId="1" applyFont="1" applyFill="1"/>
    <xf numFmtId="43" fontId="5" fillId="2" borderId="0" xfId="1" applyFont="1" applyFill="1" applyProtection="1"/>
    <xf numFmtId="0" fontId="19" fillId="19" borderId="8" xfId="0" applyFont="1" applyFill="1" applyBorder="1" applyAlignment="1" applyProtection="1">
      <alignment horizontal="center" wrapText="1"/>
      <protection locked="0"/>
    </xf>
    <xf numFmtId="0" fontId="19" fillId="19" borderId="9" xfId="0" applyFont="1" applyFill="1" applyBorder="1" applyAlignment="1" applyProtection="1">
      <alignment horizontal="center" wrapText="1"/>
      <protection locked="0"/>
    </xf>
    <xf numFmtId="0" fontId="19" fillId="19" borderId="10" xfId="0" applyFont="1" applyFill="1" applyBorder="1" applyAlignment="1" applyProtection="1">
      <alignment horizontal="center" wrapText="1"/>
      <protection locked="0"/>
    </xf>
    <xf numFmtId="0" fontId="19" fillId="19" borderId="13" xfId="0" applyFont="1" applyFill="1" applyBorder="1" applyAlignment="1" applyProtection="1">
      <alignment horizontal="center" wrapText="1"/>
      <protection locked="0"/>
    </xf>
    <xf numFmtId="0" fontId="19" fillId="19" borderId="14" xfId="0" applyFont="1" applyFill="1" applyBorder="1" applyAlignment="1" applyProtection="1">
      <alignment horizontal="center" wrapText="1"/>
      <protection locked="0"/>
    </xf>
    <xf numFmtId="0" fontId="19" fillId="19" borderId="15" xfId="0" applyFont="1" applyFill="1" applyBorder="1" applyAlignment="1" applyProtection="1">
      <alignment horizontal="center" wrapText="1"/>
      <protection locked="0"/>
    </xf>
    <xf numFmtId="0" fontId="35" fillId="0" borderId="11" xfId="0" applyFont="1" applyBorder="1" applyAlignment="1" applyProtection="1">
      <alignment horizontal="center"/>
      <protection locked="0"/>
    </xf>
    <xf numFmtId="0" fontId="35" fillId="0" borderId="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43" fontId="20" fillId="0" borderId="0" xfId="1" applyFont="1" applyAlignment="1" applyProtection="1">
      <alignment horizontal="center" wrapText="1"/>
      <protection locked="0"/>
    </xf>
    <xf numFmtId="43" fontId="20" fillId="0" borderId="0" xfId="1" applyFont="1" applyBorder="1" applyAlignment="1" applyProtection="1">
      <alignment horizontal="center" wrapText="1"/>
      <protection locked="0"/>
    </xf>
    <xf numFmtId="43" fontId="20" fillId="0" borderId="0" xfId="1" applyFont="1" applyBorder="1" applyAlignment="1" applyProtection="1">
      <alignment horizontal="center"/>
      <protection locked="0"/>
    </xf>
    <xf numFmtId="43" fontId="20" fillId="0" borderId="17" xfId="1" applyFont="1" applyBorder="1" applyAlignment="1" applyProtection="1">
      <alignment horizontal="center"/>
      <protection locked="0"/>
    </xf>
    <xf numFmtId="43" fontId="20" fillId="2" borderId="17" xfId="1" applyFont="1" applyFill="1" applyBorder="1" applyAlignment="1" applyProtection="1">
      <alignment horizontal="center" wrapText="1"/>
      <protection locked="0"/>
    </xf>
    <xf numFmtId="0" fontId="19" fillId="20" borderId="0" xfId="0" applyFont="1" applyFill="1" applyAlignment="1" applyProtection="1">
      <alignment horizontal="center" wrapText="1"/>
      <protection locked="0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Border="1" applyAlignment="1">
      <alignment wrapText="1"/>
    </xf>
    <xf numFmtId="0" fontId="0" fillId="0" borderId="0" xfId="0" applyAlignment="1">
      <alignment wrapText="1"/>
    </xf>
    <xf numFmtId="0" fontId="25" fillId="0" borderId="4" xfId="0" applyFont="1" applyBorder="1" applyAlignment="1" applyProtection="1">
      <alignment horizontal="center"/>
    </xf>
    <xf numFmtId="0" fontId="25" fillId="0" borderId="5" xfId="0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0" fontId="0" fillId="0" borderId="0" xfId="0" quotePrefix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43" fontId="0" fillId="0" borderId="0" xfId="1" applyFont="1" applyAlignment="1" applyProtection="1">
      <alignment horizontal="center"/>
    </xf>
    <xf numFmtId="43" fontId="0" fillId="0" borderId="8" xfId="1" applyFont="1" applyBorder="1" applyAlignment="1" applyProtection="1">
      <alignment horizontal="center" vertical="center" wrapText="1"/>
    </xf>
    <xf numFmtId="43" fontId="0" fillId="0" borderId="9" xfId="1" applyFont="1" applyBorder="1" applyAlignment="1" applyProtection="1">
      <alignment horizontal="center" vertical="center" wrapText="1"/>
    </xf>
    <xf numFmtId="43" fontId="0" fillId="0" borderId="10" xfId="1" applyFont="1" applyBorder="1" applyAlignment="1" applyProtection="1">
      <alignment horizontal="center" vertical="center" wrapText="1"/>
    </xf>
    <xf numFmtId="43" fontId="0" fillId="0" borderId="11" xfId="1" applyFont="1" applyBorder="1" applyAlignment="1" applyProtection="1">
      <alignment horizontal="center" vertical="center" wrapText="1"/>
    </xf>
    <xf numFmtId="43" fontId="0" fillId="0" borderId="0" xfId="1" applyFont="1" applyBorder="1" applyAlignment="1" applyProtection="1">
      <alignment horizontal="center" vertical="center" wrapText="1"/>
    </xf>
    <xf numFmtId="43" fontId="0" fillId="0" borderId="12" xfId="1" applyFont="1" applyBorder="1" applyAlignment="1" applyProtection="1">
      <alignment horizontal="center" vertical="center" wrapText="1"/>
    </xf>
    <xf numFmtId="43" fontId="0" fillId="0" borderId="13" xfId="1" applyFont="1" applyBorder="1" applyAlignment="1" applyProtection="1">
      <alignment horizontal="center" vertical="center" wrapText="1"/>
    </xf>
    <xf numFmtId="43" fontId="0" fillId="0" borderId="14" xfId="1" applyFont="1" applyBorder="1" applyAlignment="1" applyProtection="1">
      <alignment horizontal="center" vertical="center" wrapText="1"/>
    </xf>
    <xf numFmtId="43" fontId="0" fillId="0" borderId="15" xfId="1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49" fontId="9" fillId="3" borderId="21" xfId="0" quotePrefix="1" applyNumberFormat="1" applyFont="1" applyFill="1" applyBorder="1" applyAlignment="1" applyProtection="1">
      <alignment horizontal="left"/>
      <protection locked="0"/>
    </xf>
    <xf numFmtId="49" fontId="9" fillId="3" borderId="22" xfId="0" applyNumberFormat="1" applyFont="1" applyFill="1" applyBorder="1" applyAlignment="1" applyProtection="1">
      <alignment horizontal="left"/>
      <protection locked="0"/>
    </xf>
    <xf numFmtId="5" fontId="9" fillId="3" borderId="21" xfId="0" quotePrefix="1" applyNumberFormat="1" applyFont="1" applyFill="1" applyBorder="1" applyAlignment="1" applyProtection="1">
      <alignment horizontal="left"/>
      <protection locked="0"/>
    </xf>
    <xf numFmtId="5" fontId="9" fillId="3" borderId="22" xfId="0" applyNumberFormat="1" applyFont="1" applyFill="1" applyBorder="1" applyAlignment="1" applyProtection="1">
      <alignment horizontal="left"/>
      <protection locked="0"/>
    </xf>
    <xf numFmtId="49" fontId="9" fillId="3" borderId="22" xfId="0" quotePrefix="1" applyNumberFormat="1" applyFont="1" applyFill="1" applyBorder="1" applyAlignment="1" applyProtection="1">
      <alignment horizontal="left"/>
      <protection locked="0"/>
    </xf>
    <xf numFmtId="49" fontId="9" fillId="0" borderId="21" xfId="0" quotePrefix="1" applyNumberFormat="1" applyFont="1" applyBorder="1" applyAlignment="1" applyProtection="1">
      <alignment horizontal="left"/>
    </xf>
    <xf numFmtId="49" fontId="9" fillId="0" borderId="22" xfId="0" quotePrefix="1" applyNumberFormat="1" applyFont="1" applyBorder="1" applyAlignment="1" applyProtection="1">
      <alignment horizontal="left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13" borderId="21" xfId="0" applyFont="1" applyFill="1" applyBorder="1" applyAlignment="1">
      <alignment horizontal="center"/>
    </xf>
    <xf numFmtId="0" fontId="11" fillId="13" borderId="31" xfId="0" applyFont="1" applyFill="1" applyBorder="1" applyAlignment="1">
      <alignment horizontal="center"/>
    </xf>
    <xf numFmtId="0" fontId="11" fillId="13" borderId="22" xfId="0" applyFont="1" applyFill="1" applyBorder="1" applyAlignment="1">
      <alignment horizontal="center"/>
    </xf>
    <xf numFmtId="0" fontId="11" fillId="14" borderId="21" xfId="0" applyFont="1" applyFill="1" applyBorder="1" applyAlignment="1">
      <alignment horizontal="center"/>
    </xf>
    <xf numFmtId="0" fontId="11" fillId="14" borderId="31" xfId="0" applyFont="1" applyFill="1" applyBorder="1" applyAlignment="1">
      <alignment horizontal="center"/>
    </xf>
    <xf numFmtId="0" fontId="11" fillId="14" borderId="22" xfId="0" applyFont="1" applyFill="1" applyBorder="1" applyAlignment="1">
      <alignment horizontal="center"/>
    </xf>
    <xf numFmtId="0" fontId="11" fillId="15" borderId="21" xfId="0" applyFont="1" applyFill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15" borderId="22" xfId="0" applyFont="1" applyFill="1" applyBorder="1" applyAlignment="1">
      <alignment horizontal="center"/>
    </xf>
    <xf numFmtId="0" fontId="11" fillId="0" borderId="21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10" borderId="21" xfId="0" applyFont="1" applyFill="1" applyBorder="1" applyAlignment="1">
      <alignment horizontal="center"/>
    </xf>
    <xf numFmtId="0" fontId="11" fillId="10" borderId="31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1" borderId="31" xfId="0" applyFont="1" applyFill="1" applyBorder="1" applyAlignment="1">
      <alignment horizontal="center"/>
    </xf>
    <xf numFmtId="0" fontId="11" fillId="11" borderId="22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00"/>
      <color rgb="FFFFCCFF"/>
      <color rgb="FFFF99FF"/>
      <color rgb="FF7AFF37"/>
      <color rgb="FF00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1514475</xdr:colOff>
      <xdr:row>2</xdr:row>
      <xdr:rowOff>361950</xdr:rowOff>
    </xdr:from>
    <xdr:to>
      <xdr:col>1</xdr:col>
      <xdr:colOff>933450</xdr:colOff>
      <xdr:row>4</xdr:row>
      <xdr:rowOff>866775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5C5C49F-B7C4-4B63-9DDB-56848F1156F6}"/>
            </a:ext>
          </a:extLst>
        </xdr:cNvPr>
        <xdr:cNvCxnSpPr/>
      </xdr:nvCxnSpPr>
      <xdr:spPr>
        <a:xfrm flipH="1">
          <a:off x="1514475" y="1133475"/>
          <a:ext cx="1304925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A491-7351-40B0-A0A6-2D2FB0B0AB84}">
  <sheetPr>
    <tabColor rgb="FF00B050"/>
    <pageSetUpPr fitToPage="1"/>
  </sheetPr>
  <dimension ref="A1:AJ818"/>
  <sheetViews>
    <sheetView tabSelected="1" zoomScale="90" zoomScaleNormal="90" workbookViewId="0">
      <pane ySplit="7" topLeftCell="A8" activePane="bottomLeft" state="frozen"/>
      <selection pane="bottomLeft" activeCell="I602" sqref="I602"/>
    </sheetView>
  </sheetViews>
  <sheetFormatPr defaultRowHeight="15.75" x14ac:dyDescent="0.25"/>
  <cols>
    <col min="1" max="1" width="28.28515625" style="133" customWidth="1"/>
    <col min="2" max="2" width="43" style="133" customWidth="1"/>
    <col min="3" max="3" width="8" style="134" customWidth="1"/>
    <col min="4" max="4" width="10.140625" style="132" bestFit="1" customWidth="1"/>
    <col min="5" max="5" width="13.140625" style="132" bestFit="1" customWidth="1"/>
    <col min="6" max="7" width="13.7109375" style="132" bestFit="1" customWidth="1"/>
    <col min="8" max="8" width="13" style="135" customWidth="1"/>
    <col min="9" max="9" width="17" style="132" customWidth="1"/>
    <col min="10" max="10" width="15" style="132" customWidth="1"/>
    <col min="11" max="11" width="15.85546875" style="132" customWidth="1"/>
    <col min="12" max="12" width="16" style="132" customWidth="1"/>
    <col min="13" max="13" width="15" style="132" customWidth="1"/>
    <col min="14" max="14" width="16.28515625" style="132" customWidth="1"/>
    <col min="15" max="15" width="14.42578125" style="132" customWidth="1"/>
    <col min="16" max="16" width="14.5703125" style="132" customWidth="1"/>
    <col min="17" max="28" width="13.7109375" style="132" customWidth="1"/>
    <col min="29" max="29" width="6.140625" style="132" customWidth="1"/>
    <col min="30" max="30" width="15.85546875" style="132" customWidth="1"/>
    <col min="31" max="31" width="16.7109375" style="132" customWidth="1"/>
    <col min="32" max="32" width="12.85546875" style="133" customWidth="1"/>
    <col min="33" max="16384" width="9.140625" style="133"/>
  </cols>
  <sheetData>
    <row r="1" spans="1:36" ht="25.5" customHeight="1" x14ac:dyDescent="0.35">
      <c r="A1" s="330" t="s">
        <v>428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36" ht="16.5" customHeight="1" x14ac:dyDescent="0.25">
      <c r="A2" s="338" t="s">
        <v>461</v>
      </c>
      <c r="F2" s="334"/>
      <c r="G2" s="334"/>
      <c r="L2" s="335" t="s">
        <v>266</v>
      </c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</row>
    <row r="3" spans="1:36" ht="66.75" customHeight="1" x14ac:dyDescent="0.25">
      <c r="A3" s="338"/>
      <c r="E3" s="302" t="s">
        <v>446</v>
      </c>
      <c r="F3" s="337" t="s">
        <v>263</v>
      </c>
      <c r="G3" s="337"/>
      <c r="H3" s="302" t="s">
        <v>446</v>
      </c>
      <c r="J3" s="136" t="s">
        <v>269</v>
      </c>
      <c r="K3" s="136" t="s">
        <v>268</v>
      </c>
      <c r="L3" s="336" t="s">
        <v>267</v>
      </c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</row>
    <row r="4" spans="1:36" ht="12.75" customHeight="1" x14ac:dyDescent="0.25">
      <c r="F4" s="137"/>
      <c r="G4" s="137"/>
      <c r="J4" s="137"/>
      <c r="K4" s="137"/>
      <c r="L4" s="138">
        <v>94.35</v>
      </c>
      <c r="M4" s="138">
        <v>67.8</v>
      </c>
      <c r="N4" s="138">
        <v>34.200000000000003</v>
      </c>
      <c r="O4" s="138">
        <v>38.65</v>
      </c>
      <c r="P4" s="138">
        <v>41.15</v>
      </c>
      <c r="Q4" s="138">
        <f>L4+M4+N4+O4+P4</f>
        <v>276.14999999999998</v>
      </c>
      <c r="R4" s="138">
        <f>SUM(L6:P6)</f>
        <v>3056</v>
      </c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1:36" s="134" customFormat="1" ht="69.75" customHeight="1" thickBot="1" x14ac:dyDescent="0.45">
      <c r="A5" s="139" t="s">
        <v>1</v>
      </c>
      <c r="B5" s="139" t="s">
        <v>2</v>
      </c>
      <c r="C5" s="139" t="s">
        <v>272</v>
      </c>
      <c r="D5" s="140" t="s">
        <v>23</v>
      </c>
      <c r="E5" s="140" t="s">
        <v>262</v>
      </c>
      <c r="F5" s="140" t="s">
        <v>337</v>
      </c>
      <c r="G5" s="140" t="s">
        <v>338</v>
      </c>
      <c r="H5" s="140" t="s">
        <v>228</v>
      </c>
      <c r="I5" s="140" t="s">
        <v>229</v>
      </c>
      <c r="J5" s="141" t="s">
        <v>264</v>
      </c>
      <c r="K5" s="141" t="s">
        <v>265</v>
      </c>
      <c r="L5" s="142" t="s">
        <v>1759</v>
      </c>
      <c r="M5" s="142" t="s">
        <v>1760</v>
      </c>
      <c r="N5" s="142" t="s">
        <v>1761</v>
      </c>
      <c r="O5" s="142" t="s">
        <v>1762</v>
      </c>
      <c r="P5" s="142" t="s">
        <v>1763</v>
      </c>
      <c r="Q5" s="142" t="s">
        <v>44</v>
      </c>
      <c r="R5" s="142" t="s">
        <v>369</v>
      </c>
      <c r="S5" s="142" t="s">
        <v>370</v>
      </c>
      <c r="T5" s="142" t="s">
        <v>371</v>
      </c>
      <c r="U5" s="142" t="s">
        <v>372</v>
      </c>
      <c r="V5" s="142" t="s">
        <v>373</v>
      </c>
      <c r="W5" s="142" t="s">
        <v>374</v>
      </c>
      <c r="X5" s="142" t="s">
        <v>375</v>
      </c>
      <c r="Y5" s="142" t="s">
        <v>376</v>
      </c>
      <c r="Z5" s="142" t="s">
        <v>377</v>
      </c>
      <c r="AA5" s="142" t="s">
        <v>378</v>
      </c>
      <c r="AB5" s="142" t="s">
        <v>379</v>
      </c>
      <c r="AC5" s="143"/>
      <c r="AD5" s="142" t="s">
        <v>21</v>
      </c>
      <c r="AE5" s="144" t="s">
        <v>20</v>
      </c>
      <c r="AF5" s="134" t="s">
        <v>270</v>
      </c>
    </row>
    <row r="6" spans="1:36" ht="33" customHeight="1" x14ac:dyDescent="0.25">
      <c r="A6" s="332" t="s">
        <v>436</v>
      </c>
      <c r="B6" s="332"/>
      <c r="E6" s="333" t="s">
        <v>435</v>
      </c>
      <c r="F6" s="333"/>
      <c r="G6" s="333"/>
      <c r="H6" s="333"/>
      <c r="K6" s="305" t="s">
        <v>448</v>
      </c>
      <c r="L6" s="132">
        <v>997</v>
      </c>
      <c r="M6" s="132">
        <v>720</v>
      </c>
      <c r="N6" s="132">
        <v>429</v>
      </c>
      <c r="O6" s="132">
        <v>439</v>
      </c>
      <c r="P6" s="132">
        <v>471</v>
      </c>
      <c r="AD6" s="132">
        <f>SUM(L6:AB6)</f>
        <v>3056</v>
      </c>
      <c r="AG6" s="324" t="s">
        <v>450</v>
      </c>
      <c r="AH6" s="325"/>
      <c r="AI6" s="325"/>
      <c r="AJ6" s="326"/>
    </row>
    <row r="7" spans="1:36" ht="38.25" customHeight="1" thickBot="1" x14ac:dyDescent="0.3">
      <c r="A7" s="145" t="s">
        <v>230</v>
      </c>
      <c r="J7" s="304"/>
      <c r="K7" s="306" t="s">
        <v>449</v>
      </c>
      <c r="L7" s="303">
        <f>L6/$AD$6</f>
        <v>0.32624345549738221</v>
      </c>
      <c r="M7" s="303">
        <f t="shared" ref="M7:AB7" si="0">M6/$AD$6</f>
        <v>0.2356020942408377</v>
      </c>
      <c r="N7" s="303">
        <f t="shared" si="0"/>
        <v>0.14037958115183247</v>
      </c>
      <c r="O7" s="303">
        <f t="shared" si="0"/>
        <v>0.14365183246073299</v>
      </c>
      <c r="P7" s="303">
        <f t="shared" si="0"/>
        <v>0.15412303664921467</v>
      </c>
      <c r="Q7" s="303">
        <f t="shared" si="0"/>
        <v>0</v>
      </c>
      <c r="R7" s="303">
        <f t="shared" si="0"/>
        <v>0</v>
      </c>
      <c r="S7" s="303">
        <f t="shared" si="0"/>
        <v>0</v>
      </c>
      <c r="T7" s="303">
        <f t="shared" si="0"/>
        <v>0</v>
      </c>
      <c r="U7" s="303">
        <f t="shared" si="0"/>
        <v>0</v>
      </c>
      <c r="V7" s="303">
        <f t="shared" si="0"/>
        <v>0</v>
      </c>
      <c r="W7" s="303">
        <f t="shared" si="0"/>
        <v>0</v>
      </c>
      <c r="X7" s="303">
        <f t="shared" si="0"/>
        <v>0</v>
      </c>
      <c r="Y7" s="303">
        <f t="shared" si="0"/>
        <v>0</v>
      </c>
      <c r="Z7" s="303">
        <f t="shared" si="0"/>
        <v>0</v>
      </c>
      <c r="AA7" s="303">
        <f t="shared" si="0"/>
        <v>0</v>
      </c>
      <c r="AB7" s="303">
        <f t="shared" si="0"/>
        <v>0</v>
      </c>
      <c r="AG7" s="327"/>
      <c r="AH7" s="328"/>
      <c r="AI7" s="328"/>
      <c r="AJ7" s="329"/>
    </row>
    <row r="8" spans="1:36" ht="21" customHeight="1" x14ac:dyDescent="0.25">
      <c r="A8" s="315" t="s">
        <v>1520</v>
      </c>
      <c r="B8" s="315" t="s">
        <v>1270</v>
      </c>
      <c r="C8" s="169" t="str">
        <f t="shared" ref="C8:C71" si="1">CONCATENATE(MID(A8,1,1))</f>
        <v>A</v>
      </c>
      <c r="D8" s="146" t="str">
        <f t="shared" ref="D8:D71" si="2">CONCATENATE(MID(A8,8,1))</f>
        <v>4</v>
      </c>
      <c r="E8" s="147" t="s">
        <v>17</v>
      </c>
      <c r="F8" s="147"/>
      <c r="G8" s="147"/>
      <c r="H8" s="148" t="s">
        <v>279</v>
      </c>
      <c r="I8" s="316">
        <v>11134</v>
      </c>
      <c r="J8" s="170">
        <f t="shared" ref="J8:J71" si="3">IF(D8="8",I8,0)</f>
        <v>0</v>
      </c>
      <c r="K8" s="168">
        <f t="shared" ref="K8:K71" si="4">IF(E8&lt;&gt;"S",IF(D8&lt;&gt;"8",I8,"")," ")</f>
        <v>11134</v>
      </c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32">
        <f t="shared" ref="AD8:AD70" si="5">SUM(L8:AC8)</f>
        <v>0</v>
      </c>
      <c r="AE8" s="132">
        <f>SUM(J8,K8,AD8)</f>
        <v>11134</v>
      </c>
      <c r="AF8" s="150">
        <f>+I8-AE8</f>
        <v>0</v>
      </c>
    </row>
    <row r="9" spans="1:36" x14ac:dyDescent="0.25">
      <c r="A9" s="315" t="s">
        <v>1500</v>
      </c>
      <c r="B9" s="315" t="s">
        <v>1300</v>
      </c>
      <c r="C9" s="169" t="str">
        <f t="shared" si="1"/>
        <v>A</v>
      </c>
      <c r="D9" s="146" t="str">
        <f t="shared" si="2"/>
        <v>4</v>
      </c>
      <c r="E9" s="147" t="s">
        <v>17</v>
      </c>
      <c r="F9" s="147"/>
      <c r="G9" s="147"/>
      <c r="H9" s="148" t="s">
        <v>279</v>
      </c>
      <c r="I9" s="316">
        <v>2024</v>
      </c>
      <c r="J9" s="170">
        <f t="shared" si="3"/>
        <v>0</v>
      </c>
      <c r="K9" s="168">
        <f t="shared" si="4"/>
        <v>2024</v>
      </c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32">
        <f t="shared" si="5"/>
        <v>0</v>
      </c>
      <c r="AE9" s="132">
        <f t="shared" ref="AE9:AE71" si="6">SUM(J9,K9,AD9)</f>
        <v>2024</v>
      </c>
      <c r="AF9" s="150">
        <f t="shared" ref="AF9:AF71" si="7">+I9-AE9</f>
        <v>0</v>
      </c>
    </row>
    <row r="10" spans="1:36" x14ac:dyDescent="0.25">
      <c r="A10" s="315" t="s">
        <v>1746</v>
      </c>
      <c r="B10" s="315" t="s">
        <v>1408</v>
      </c>
      <c r="C10" s="169" t="str">
        <f t="shared" si="1"/>
        <v>A</v>
      </c>
      <c r="D10" s="146" t="str">
        <f t="shared" si="2"/>
        <v>4</v>
      </c>
      <c r="E10" s="147" t="s">
        <v>17</v>
      </c>
      <c r="F10" s="147"/>
      <c r="G10" s="147"/>
      <c r="H10" s="148" t="s">
        <v>279</v>
      </c>
      <c r="I10" s="316">
        <v>3264</v>
      </c>
      <c r="J10" s="170">
        <f t="shared" si="3"/>
        <v>0</v>
      </c>
      <c r="K10" s="168">
        <f t="shared" si="4"/>
        <v>3264</v>
      </c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32">
        <f t="shared" si="5"/>
        <v>0</v>
      </c>
      <c r="AE10" s="132">
        <f t="shared" si="6"/>
        <v>3264</v>
      </c>
      <c r="AF10" s="150">
        <f t="shared" si="7"/>
        <v>0</v>
      </c>
    </row>
    <row r="11" spans="1:36" x14ac:dyDescent="0.25">
      <c r="A11" s="315" t="s">
        <v>1411</v>
      </c>
      <c r="B11" s="315" t="s">
        <v>746</v>
      </c>
      <c r="C11" s="169" t="str">
        <f t="shared" si="1"/>
        <v>A</v>
      </c>
      <c r="D11" s="146" t="str">
        <f t="shared" si="2"/>
        <v>4</v>
      </c>
      <c r="E11" s="147" t="s">
        <v>17</v>
      </c>
      <c r="F11" s="147"/>
      <c r="G11" s="147"/>
      <c r="H11" s="148" t="s">
        <v>279</v>
      </c>
      <c r="I11" s="316">
        <v>2768</v>
      </c>
      <c r="J11" s="170">
        <f t="shared" si="3"/>
        <v>0</v>
      </c>
      <c r="K11" s="168">
        <f t="shared" si="4"/>
        <v>2768</v>
      </c>
      <c r="L11" s="147">
        <v>0</v>
      </c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32">
        <f t="shared" si="5"/>
        <v>0</v>
      </c>
      <c r="AE11" s="132">
        <f t="shared" si="6"/>
        <v>2768</v>
      </c>
      <c r="AF11" s="150">
        <f t="shared" si="7"/>
        <v>0</v>
      </c>
    </row>
    <row r="12" spans="1:36" x14ac:dyDescent="0.25">
      <c r="A12" s="315" t="s">
        <v>1424</v>
      </c>
      <c r="B12" s="315" t="s">
        <v>924</v>
      </c>
      <c r="C12" s="169" t="str">
        <f t="shared" si="1"/>
        <v>A</v>
      </c>
      <c r="D12" s="146" t="str">
        <f t="shared" si="2"/>
        <v>1</v>
      </c>
      <c r="E12" s="147" t="s">
        <v>17</v>
      </c>
      <c r="F12" s="147"/>
      <c r="G12" s="147"/>
      <c r="H12" s="148" t="s">
        <v>279</v>
      </c>
      <c r="I12" s="316">
        <v>5749</v>
      </c>
      <c r="J12" s="170">
        <f t="shared" si="3"/>
        <v>0</v>
      </c>
      <c r="K12" s="168">
        <f t="shared" si="4"/>
        <v>5749</v>
      </c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32">
        <f t="shared" si="5"/>
        <v>0</v>
      </c>
      <c r="AE12" s="132">
        <f t="shared" si="6"/>
        <v>5749</v>
      </c>
      <c r="AF12" s="150">
        <f t="shared" si="7"/>
        <v>0</v>
      </c>
    </row>
    <row r="13" spans="1:36" x14ac:dyDescent="0.25">
      <c r="A13" s="315" t="s">
        <v>1039</v>
      </c>
      <c r="B13" s="315" t="s">
        <v>1142</v>
      </c>
      <c r="C13" s="169" t="str">
        <f t="shared" si="1"/>
        <v>A</v>
      </c>
      <c r="D13" s="146" t="str">
        <f t="shared" si="2"/>
        <v>4</v>
      </c>
      <c r="E13" s="147" t="s">
        <v>17</v>
      </c>
      <c r="F13" s="147"/>
      <c r="G13" s="147"/>
      <c r="H13" s="148" t="s">
        <v>279</v>
      </c>
      <c r="I13" s="316">
        <v>3200</v>
      </c>
      <c r="J13" s="170">
        <f t="shared" si="3"/>
        <v>0</v>
      </c>
      <c r="K13" s="168">
        <f t="shared" si="4"/>
        <v>3200</v>
      </c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32">
        <f t="shared" si="5"/>
        <v>0</v>
      </c>
      <c r="AE13" s="132">
        <f t="shared" si="6"/>
        <v>3200</v>
      </c>
      <c r="AF13" s="150">
        <f t="shared" si="7"/>
        <v>0</v>
      </c>
    </row>
    <row r="14" spans="1:36" x14ac:dyDescent="0.25">
      <c r="A14" s="315" t="s">
        <v>1158</v>
      </c>
      <c r="B14" s="315" t="s">
        <v>1005</v>
      </c>
      <c r="C14" s="169" t="str">
        <f t="shared" si="1"/>
        <v>A</v>
      </c>
      <c r="D14" s="146" t="str">
        <f t="shared" si="2"/>
        <v>1</v>
      </c>
      <c r="E14" s="147" t="s">
        <v>12</v>
      </c>
      <c r="F14" s="147"/>
      <c r="G14" s="147"/>
      <c r="H14" s="148" t="s">
        <v>279</v>
      </c>
      <c r="I14" s="316">
        <v>206986</v>
      </c>
      <c r="J14" s="170">
        <f t="shared" si="3"/>
        <v>0</v>
      </c>
      <c r="K14" s="168">
        <f t="shared" si="4"/>
        <v>206986</v>
      </c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32">
        <f t="shared" si="5"/>
        <v>0</v>
      </c>
      <c r="AE14" s="132">
        <f t="shared" si="6"/>
        <v>206986</v>
      </c>
      <c r="AF14" s="150">
        <f t="shared" si="7"/>
        <v>0</v>
      </c>
    </row>
    <row r="15" spans="1:36" x14ac:dyDescent="0.25">
      <c r="A15" s="315" t="s">
        <v>1010</v>
      </c>
      <c r="B15" s="315" t="s">
        <v>667</v>
      </c>
      <c r="C15" s="169" t="str">
        <f t="shared" si="1"/>
        <v>A</v>
      </c>
      <c r="D15" s="146" t="str">
        <f t="shared" si="2"/>
        <v>1</v>
      </c>
      <c r="E15" s="147" t="s">
        <v>12</v>
      </c>
      <c r="F15" s="147"/>
      <c r="G15" s="147"/>
      <c r="H15" s="148" t="s">
        <v>279</v>
      </c>
      <c r="I15" s="316">
        <v>70962</v>
      </c>
      <c r="J15" s="170">
        <f t="shared" si="3"/>
        <v>0</v>
      </c>
      <c r="K15" s="168">
        <f t="shared" si="4"/>
        <v>70962</v>
      </c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32">
        <f t="shared" si="5"/>
        <v>0</v>
      </c>
      <c r="AE15" s="132">
        <f t="shared" si="6"/>
        <v>70962</v>
      </c>
      <c r="AF15" s="150">
        <f t="shared" si="7"/>
        <v>0</v>
      </c>
    </row>
    <row r="16" spans="1:36" x14ac:dyDescent="0.25">
      <c r="A16" s="315" t="s">
        <v>481</v>
      </c>
      <c r="B16" s="315" t="s">
        <v>1249</v>
      </c>
      <c r="C16" s="169" t="str">
        <f t="shared" si="1"/>
        <v>A</v>
      </c>
      <c r="D16" s="146" t="str">
        <f t="shared" si="2"/>
        <v>4</v>
      </c>
      <c r="E16" s="147" t="s">
        <v>12</v>
      </c>
      <c r="F16" s="147"/>
      <c r="G16" s="147"/>
      <c r="H16" s="148" t="s">
        <v>279</v>
      </c>
      <c r="I16" s="316">
        <v>1530</v>
      </c>
      <c r="J16" s="170">
        <f t="shared" si="3"/>
        <v>0</v>
      </c>
      <c r="K16" s="168">
        <f t="shared" si="4"/>
        <v>1530</v>
      </c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32">
        <f t="shared" si="5"/>
        <v>0</v>
      </c>
      <c r="AE16" s="132">
        <f t="shared" si="6"/>
        <v>1530</v>
      </c>
      <c r="AF16" s="150">
        <f t="shared" si="7"/>
        <v>0</v>
      </c>
    </row>
    <row r="17" spans="1:32" x14ac:dyDescent="0.25">
      <c r="A17" s="315" t="s">
        <v>960</v>
      </c>
      <c r="B17" s="315" t="s">
        <v>1553</v>
      </c>
      <c r="C17" s="169" t="str">
        <f t="shared" si="1"/>
        <v>A</v>
      </c>
      <c r="D17" s="146" t="str">
        <f t="shared" si="2"/>
        <v>4</v>
      </c>
      <c r="E17" s="147" t="s">
        <v>12</v>
      </c>
      <c r="F17" s="147"/>
      <c r="G17" s="147"/>
      <c r="H17" s="148" t="s">
        <v>279</v>
      </c>
      <c r="I17" s="316">
        <v>1632</v>
      </c>
      <c r="J17" s="170">
        <f t="shared" si="3"/>
        <v>0</v>
      </c>
      <c r="K17" s="168">
        <f t="shared" si="4"/>
        <v>1632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32">
        <f t="shared" si="5"/>
        <v>0</v>
      </c>
      <c r="AE17" s="132">
        <f t="shared" si="6"/>
        <v>1632</v>
      </c>
      <c r="AF17" s="150">
        <f t="shared" si="7"/>
        <v>0</v>
      </c>
    </row>
    <row r="18" spans="1:32" x14ac:dyDescent="0.25">
      <c r="A18" s="315" t="s">
        <v>678</v>
      </c>
      <c r="B18" s="315" t="s">
        <v>477</v>
      </c>
      <c r="C18" s="169" t="str">
        <f t="shared" si="1"/>
        <v>A</v>
      </c>
      <c r="D18" s="146" t="str">
        <f t="shared" si="2"/>
        <v>4</v>
      </c>
      <c r="E18" s="147" t="s">
        <v>12</v>
      </c>
      <c r="F18" s="147"/>
      <c r="G18" s="147"/>
      <c r="H18" s="148" t="s">
        <v>279</v>
      </c>
      <c r="I18" s="316">
        <v>360</v>
      </c>
      <c r="J18" s="170">
        <f t="shared" si="3"/>
        <v>0</v>
      </c>
      <c r="K18" s="168">
        <f t="shared" si="4"/>
        <v>360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32">
        <f t="shared" si="5"/>
        <v>0</v>
      </c>
      <c r="AE18" s="132">
        <f t="shared" si="6"/>
        <v>360</v>
      </c>
      <c r="AF18" s="150">
        <f t="shared" si="7"/>
        <v>0</v>
      </c>
    </row>
    <row r="19" spans="1:32" x14ac:dyDescent="0.25">
      <c r="A19" s="315" t="s">
        <v>1425</v>
      </c>
      <c r="B19" s="315" t="s">
        <v>1584</v>
      </c>
      <c r="C19" s="169" t="str">
        <f t="shared" si="1"/>
        <v>A</v>
      </c>
      <c r="D19" s="146" t="str">
        <f t="shared" si="2"/>
        <v>4</v>
      </c>
      <c r="E19" s="147" t="s">
        <v>12</v>
      </c>
      <c r="F19" s="147"/>
      <c r="G19" s="147"/>
      <c r="H19" s="148" t="s">
        <v>279</v>
      </c>
      <c r="I19" s="316">
        <v>3672</v>
      </c>
      <c r="J19" s="170">
        <f t="shared" si="3"/>
        <v>0</v>
      </c>
      <c r="K19" s="168">
        <f t="shared" si="4"/>
        <v>3672</v>
      </c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32">
        <f t="shared" si="5"/>
        <v>0</v>
      </c>
      <c r="AE19" s="132">
        <f t="shared" si="6"/>
        <v>3672</v>
      </c>
      <c r="AF19" s="150">
        <f t="shared" si="7"/>
        <v>0</v>
      </c>
    </row>
    <row r="20" spans="1:32" x14ac:dyDescent="0.25">
      <c r="A20" s="315" t="s">
        <v>1281</v>
      </c>
      <c r="B20" s="315" t="s">
        <v>1296</v>
      </c>
      <c r="C20" s="169" t="str">
        <f t="shared" si="1"/>
        <v>A</v>
      </c>
      <c r="D20" s="146" t="str">
        <f t="shared" si="2"/>
        <v>1</v>
      </c>
      <c r="E20" s="147" t="s">
        <v>12</v>
      </c>
      <c r="F20" s="147"/>
      <c r="G20" s="147"/>
      <c r="H20" s="148" t="s">
        <v>279</v>
      </c>
      <c r="I20" s="316">
        <v>270834</v>
      </c>
      <c r="J20" s="170">
        <f t="shared" si="3"/>
        <v>0</v>
      </c>
      <c r="K20" s="168">
        <f t="shared" si="4"/>
        <v>270834</v>
      </c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32">
        <f t="shared" si="5"/>
        <v>0</v>
      </c>
      <c r="AE20" s="132">
        <f t="shared" si="6"/>
        <v>270834</v>
      </c>
      <c r="AF20" s="150">
        <f t="shared" si="7"/>
        <v>0</v>
      </c>
    </row>
    <row r="21" spans="1:32" x14ac:dyDescent="0.25">
      <c r="A21" s="315" t="s">
        <v>1263</v>
      </c>
      <c r="B21" s="315" t="s">
        <v>1377</v>
      </c>
      <c r="C21" s="169" t="str">
        <f t="shared" si="1"/>
        <v>A</v>
      </c>
      <c r="D21" s="146" t="str">
        <f t="shared" si="2"/>
        <v>1</v>
      </c>
      <c r="E21" s="147" t="s">
        <v>12</v>
      </c>
      <c r="F21" s="147"/>
      <c r="G21" s="147"/>
      <c r="H21" s="148" t="s">
        <v>279</v>
      </c>
      <c r="I21" s="316">
        <v>268668</v>
      </c>
      <c r="J21" s="170">
        <f t="shared" si="3"/>
        <v>0</v>
      </c>
      <c r="K21" s="168">
        <f t="shared" si="4"/>
        <v>268668</v>
      </c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32">
        <f t="shared" si="5"/>
        <v>0</v>
      </c>
      <c r="AE21" s="132">
        <f t="shared" si="6"/>
        <v>268668</v>
      </c>
      <c r="AF21" s="150">
        <f t="shared" si="7"/>
        <v>0</v>
      </c>
    </row>
    <row r="22" spans="1:32" x14ac:dyDescent="0.25">
      <c r="A22" s="315" t="s">
        <v>783</v>
      </c>
      <c r="B22" s="315" t="s">
        <v>1176</v>
      </c>
      <c r="C22" s="169" t="str">
        <f t="shared" si="1"/>
        <v>A</v>
      </c>
      <c r="D22" s="146" t="str">
        <f t="shared" si="2"/>
        <v>1</v>
      </c>
      <c r="E22" s="147" t="s">
        <v>12</v>
      </c>
      <c r="F22" s="147"/>
      <c r="G22" s="147"/>
      <c r="H22" s="148" t="s">
        <v>279</v>
      </c>
      <c r="I22" s="316">
        <v>5003</v>
      </c>
      <c r="J22" s="170">
        <f t="shared" si="3"/>
        <v>0</v>
      </c>
      <c r="K22" s="168">
        <f t="shared" si="4"/>
        <v>5003</v>
      </c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32">
        <f t="shared" si="5"/>
        <v>0</v>
      </c>
      <c r="AE22" s="132">
        <f t="shared" si="6"/>
        <v>5003</v>
      </c>
      <c r="AF22" s="150">
        <f t="shared" si="7"/>
        <v>0</v>
      </c>
    </row>
    <row r="23" spans="1:32" x14ac:dyDescent="0.25">
      <c r="A23" s="315" t="s">
        <v>1371</v>
      </c>
      <c r="B23" s="315" t="s">
        <v>1309</v>
      </c>
      <c r="C23" s="169" t="str">
        <f t="shared" si="1"/>
        <v>A</v>
      </c>
      <c r="D23" s="146" t="str">
        <f t="shared" si="2"/>
        <v>2</v>
      </c>
      <c r="E23" s="147" t="s">
        <v>12</v>
      </c>
      <c r="F23" s="147"/>
      <c r="G23" s="147"/>
      <c r="H23" s="148" t="s">
        <v>279</v>
      </c>
      <c r="I23" s="316">
        <v>1200</v>
      </c>
      <c r="J23" s="170">
        <f t="shared" si="3"/>
        <v>0</v>
      </c>
      <c r="K23" s="168">
        <f t="shared" si="4"/>
        <v>1200</v>
      </c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32">
        <f t="shared" si="5"/>
        <v>0</v>
      </c>
      <c r="AE23" s="132">
        <f t="shared" si="6"/>
        <v>1200</v>
      </c>
      <c r="AF23" s="150">
        <f t="shared" si="7"/>
        <v>0</v>
      </c>
    </row>
    <row r="24" spans="1:32" x14ac:dyDescent="0.25">
      <c r="A24" s="315" t="s">
        <v>1480</v>
      </c>
      <c r="B24" s="315" t="s">
        <v>1152</v>
      </c>
      <c r="C24" s="169" t="str">
        <f t="shared" si="1"/>
        <v>A</v>
      </c>
      <c r="D24" s="146" t="str">
        <f t="shared" si="2"/>
        <v>4</v>
      </c>
      <c r="E24" s="147" t="s">
        <v>12</v>
      </c>
      <c r="F24" s="147"/>
      <c r="G24" s="147"/>
      <c r="H24" s="148" t="s">
        <v>279</v>
      </c>
      <c r="I24" s="316">
        <v>21000</v>
      </c>
      <c r="J24" s="170">
        <f t="shared" si="3"/>
        <v>0</v>
      </c>
      <c r="K24" s="168">
        <f t="shared" si="4"/>
        <v>21000</v>
      </c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32">
        <f t="shared" si="5"/>
        <v>0</v>
      </c>
      <c r="AE24" s="132">
        <f t="shared" si="6"/>
        <v>21000</v>
      </c>
      <c r="AF24" s="150">
        <f t="shared" si="7"/>
        <v>0</v>
      </c>
    </row>
    <row r="25" spans="1:32" x14ac:dyDescent="0.25">
      <c r="A25" s="315" t="s">
        <v>973</v>
      </c>
      <c r="B25" s="315" t="s">
        <v>887</v>
      </c>
      <c r="C25" s="169" t="str">
        <f t="shared" si="1"/>
        <v>A</v>
      </c>
      <c r="D25" s="146" t="str">
        <f t="shared" si="2"/>
        <v>4</v>
      </c>
      <c r="E25" s="147" t="s">
        <v>12</v>
      </c>
      <c r="F25" s="147"/>
      <c r="G25" s="147"/>
      <c r="H25" s="148" t="s">
        <v>279</v>
      </c>
      <c r="I25" s="316">
        <v>1900</v>
      </c>
      <c r="J25" s="170">
        <f t="shared" si="3"/>
        <v>0</v>
      </c>
      <c r="K25" s="168">
        <f t="shared" si="4"/>
        <v>1900</v>
      </c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32">
        <f t="shared" si="5"/>
        <v>0</v>
      </c>
      <c r="AE25" s="132">
        <f t="shared" si="6"/>
        <v>1900</v>
      </c>
      <c r="AF25" s="150">
        <f t="shared" si="7"/>
        <v>0</v>
      </c>
    </row>
    <row r="26" spans="1:32" x14ac:dyDescent="0.25">
      <c r="A26" s="315" t="s">
        <v>1175</v>
      </c>
      <c r="B26" s="315" t="s">
        <v>1180</v>
      </c>
      <c r="C26" s="169" t="str">
        <f t="shared" si="1"/>
        <v>A</v>
      </c>
      <c r="D26" s="146" t="str">
        <f t="shared" si="2"/>
        <v>4</v>
      </c>
      <c r="E26" s="147" t="s">
        <v>12</v>
      </c>
      <c r="F26" s="147"/>
      <c r="G26" s="147"/>
      <c r="H26" s="148" t="s">
        <v>279</v>
      </c>
      <c r="I26" s="316">
        <v>2500</v>
      </c>
      <c r="J26" s="170">
        <f t="shared" si="3"/>
        <v>0</v>
      </c>
      <c r="K26" s="168">
        <f t="shared" si="4"/>
        <v>2500</v>
      </c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32">
        <f t="shared" si="5"/>
        <v>0</v>
      </c>
      <c r="AE26" s="132">
        <f t="shared" si="6"/>
        <v>2500</v>
      </c>
      <c r="AF26" s="150">
        <f t="shared" si="7"/>
        <v>0</v>
      </c>
    </row>
    <row r="27" spans="1:32" x14ac:dyDescent="0.25">
      <c r="A27" s="315" t="s">
        <v>1260</v>
      </c>
      <c r="B27" s="315" t="s">
        <v>969</v>
      </c>
      <c r="C27" s="169" t="str">
        <f t="shared" si="1"/>
        <v>A</v>
      </c>
      <c r="D27" s="146" t="str">
        <f t="shared" si="2"/>
        <v>4</v>
      </c>
      <c r="E27" s="147" t="s">
        <v>12</v>
      </c>
      <c r="F27" s="147"/>
      <c r="G27" s="147"/>
      <c r="H27" s="148" t="s">
        <v>279</v>
      </c>
      <c r="I27" s="316">
        <v>2800</v>
      </c>
      <c r="J27" s="170">
        <f t="shared" si="3"/>
        <v>0</v>
      </c>
      <c r="K27" s="168">
        <f t="shared" si="4"/>
        <v>2800</v>
      </c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32">
        <f t="shared" si="5"/>
        <v>0</v>
      </c>
      <c r="AE27" s="132">
        <f t="shared" si="6"/>
        <v>2800</v>
      </c>
      <c r="AF27" s="150">
        <f t="shared" si="7"/>
        <v>0</v>
      </c>
    </row>
    <row r="28" spans="1:32" x14ac:dyDescent="0.25">
      <c r="A28" s="315" t="s">
        <v>939</v>
      </c>
      <c r="B28" s="315" t="s">
        <v>1208</v>
      </c>
      <c r="C28" s="169" t="str">
        <f t="shared" si="1"/>
        <v>A</v>
      </c>
      <c r="D28" s="146" t="str">
        <f t="shared" si="2"/>
        <v>4</v>
      </c>
      <c r="E28" s="147" t="s">
        <v>12</v>
      </c>
      <c r="F28" s="147"/>
      <c r="G28" s="147"/>
      <c r="H28" s="148" t="s">
        <v>279</v>
      </c>
      <c r="I28" s="316">
        <v>6400</v>
      </c>
      <c r="J28" s="170">
        <f t="shared" si="3"/>
        <v>0</v>
      </c>
      <c r="K28" s="168">
        <f t="shared" si="4"/>
        <v>6400</v>
      </c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32">
        <f t="shared" si="5"/>
        <v>0</v>
      </c>
      <c r="AE28" s="132">
        <f t="shared" si="6"/>
        <v>6400</v>
      </c>
      <c r="AF28" s="150">
        <f t="shared" si="7"/>
        <v>0</v>
      </c>
    </row>
    <row r="29" spans="1:32" x14ac:dyDescent="0.25">
      <c r="A29" s="315" t="s">
        <v>745</v>
      </c>
      <c r="B29" s="315" t="s">
        <v>1328</v>
      </c>
      <c r="C29" s="169" t="str">
        <f t="shared" si="1"/>
        <v>A</v>
      </c>
      <c r="D29" s="146" t="str">
        <f t="shared" si="2"/>
        <v>4</v>
      </c>
      <c r="E29" s="147" t="s">
        <v>12</v>
      </c>
      <c r="F29" s="147"/>
      <c r="G29" s="147"/>
      <c r="H29" s="148" t="s">
        <v>279</v>
      </c>
      <c r="I29" s="316">
        <v>7682</v>
      </c>
      <c r="J29" s="170">
        <f t="shared" si="3"/>
        <v>0</v>
      </c>
      <c r="K29" s="168">
        <f t="shared" si="4"/>
        <v>7682</v>
      </c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32">
        <f t="shared" si="5"/>
        <v>0</v>
      </c>
      <c r="AE29" s="132">
        <f t="shared" si="6"/>
        <v>7682</v>
      </c>
      <c r="AF29" s="150">
        <f t="shared" si="7"/>
        <v>0</v>
      </c>
    </row>
    <row r="30" spans="1:32" x14ac:dyDescent="0.25">
      <c r="A30" s="315" t="s">
        <v>774</v>
      </c>
      <c r="B30" s="315" t="s">
        <v>1426</v>
      </c>
      <c r="C30" s="169" t="str">
        <f t="shared" si="1"/>
        <v>A</v>
      </c>
      <c r="D30" s="146" t="str">
        <f t="shared" si="2"/>
        <v>1</v>
      </c>
      <c r="E30" s="147" t="s">
        <v>12</v>
      </c>
      <c r="F30" s="147"/>
      <c r="G30" s="147"/>
      <c r="H30" s="148" t="s">
        <v>279</v>
      </c>
      <c r="I30" s="316">
        <v>7500</v>
      </c>
      <c r="J30" s="170">
        <f t="shared" si="3"/>
        <v>0</v>
      </c>
      <c r="K30" s="168">
        <f t="shared" si="4"/>
        <v>7500</v>
      </c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32">
        <f t="shared" si="5"/>
        <v>0</v>
      </c>
      <c r="AE30" s="132">
        <f t="shared" si="6"/>
        <v>7500</v>
      </c>
      <c r="AF30" s="150">
        <f t="shared" si="7"/>
        <v>0</v>
      </c>
    </row>
    <row r="31" spans="1:32" x14ac:dyDescent="0.25">
      <c r="A31" s="315" t="s">
        <v>836</v>
      </c>
      <c r="B31" s="315" t="s">
        <v>996</v>
      </c>
      <c r="C31" s="169" t="str">
        <f t="shared" si="1"/>
        <v>A</v>
      </c>
      <c r="D31" s="146" t="str">
        <f t="shared" si="2"/>
        <v>4</v>
      </c>
      <c r="E31" s="147" t="s">
        <v>12</v>
      </c>
      <c r="F31" s="147"/>
      <c r="G31" s="147"/>
      <c r="H31" s="148" t="s">
        <v>279</v>
      </c>
      <c r="I31" s="316">
        <v>60000</v>
      </c>
      <c r="J31" s="170">
        <f t="shared" si="3"/>
        <v>0</v>
      </c>
      <c r="K31" s="168">
        <f t="shared" si="4"/>
        <v>60000</v>
      </c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32">
        <f t="shared" si="5"/>
        <v>0</v>
      </c>
      <c r="AE31" s="132">
        <f t="shared" si="6"/>
        <v>60000</v>
      </c>
      <c r="AF31" s="150">
        <f t="shared" si="7"/>
        <v>0</v>
      </c>
    </row>
    <row r="32" spans="1:32" x14ac:dyDescent="0.25">
      <c r="A32" s="315" t="s">
        <v>578</v>
      </c>
      <c r="B32" s="315" t="s">
        <v>496</v>
      </c>
      <c r="C32" s="169" t="str">
        <f t="shared" si="1"/>
        <v>A</v>
      </c>
      <c r="D32" s="146" t="str">
        <f t="shared" si="2"/>
        <v>1</v>
      </c>
      <c r="E32" s="147" t="s">
        <v>12</v>
      </c>
      <c r="F32" s="147"/>
      <c r="G32" s="147"/>
      <c r="H32" s="148" t="s">
        <v>279</v>
      </c>
      <c r="I32" s="316">
        <v>28190</v>
      </c>
      <c r="J32" s="170">
        <f t="shared" si="3"/>
        <v>0</v>
      </c>
      <c r="K32" s="168">
        <f t="shared" si="4"/>
        <v>28190</v>
      </c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32">
        <f t="shared" si="5"/>
        <v>0</v>
      </c>
      <c r="AE32" s="132">
        <f t="shared" si="6"/>
        <v>28190</v>
      </c>
      <c r="AF32" s="150">
        <f t="shared" si="7"/>
        <v>0</v>
      </c>
    </row>
    <row r="33" spans="1:32" x14ac:dyDescent="0.25">
      <c r="A33" s="315" t="s">
        <v>1644</v>
      </c>
      <c r="B33" s="315" t="s">
        <v>1681</v>
      </c>
      <c r="C33" s="169" t="str">
        <f t="shared" si="1"/>
        <v>A</v>
      </c>
      <c r="D33" s="146" t="str">
        <f t="shared" si="2"/>
        <v>4</v>
      </c>
      <c r="E33" s="147" t="s">
        <v>12</v>
      </c>
      <c r="F33" s="147"/>
      <c r="G33" s="147"/>
      <c r="H33" s="148" t="s">
        <v>279</v>
      </c>
      <c r="I33" s="316">
        <v>7000</v>
      </c>
      <c r="J33" s="170">
        <f t="shared" si="3"/>
        <v>0</v>
      </c>
      <c r="K33" s="168">
        <f t="shared" si="4"/>
        <v>7000</v>
      </c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32">
        <f t="shared" si="5"/>
        <v>0</v>
      </c>
      <c r="AE33" s="132">
        <f t="shared" si="6"/>
        <v>7000</v>
      </c>
      <c r="AF33" s="150">
        <f t="shared" si="7"/>
        <v>0</v>
      </c>
    </row>
    <row r="34" spans="1:32" x14ac:dyDescent="0.25">
      <c r="A34" s="315" t="s">
        <v>879</v>
      </c>
      <c r="B34" s="315" t="s">
        <v>653</v>
      </c>
      <c r="C34" s="169" t="str">
        <f t="shared" si="1"/>
        <v>A</v>
      </c>
      <c r="D34" s="146" t="str">
        <f t="shared" si="2"/>
        <v>4</v>
      </c>
      <c r="E34" s="147" t="s">
        <v>12</v>
      </c>
      <c r="F34" s="147"/>
      <c r="G34" s="147"/>
      <c r="H34" s="148" t="s">
        <v>279</v>
      </c>
      <c r="I34" s="316">
        <v>750</v>
      </c>
      <c r="J34" s="170">
        <f t="shared" si="3"/>
        <v>0</v>
      </c>
      <c r="K34" s="168">
        <f t="shared" si="4"/>
        <v>750</v>
      </c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32">
        <f t="shared" si="5"/>
        <v>0</v>
      </c>
      <c r="AE34" s="132">
        <f t="shared" si="6"/>
        <v>750</v>
      </c>
      <c r="AF34" s="150">
        <f t="shared" si="7"/>
        <v>0</v>
      </c>
    </row>
    <row r="35" spans="1:32" x14ac:dyDescent="0.25">
      <c r="A35" s="315" t="s">
        <v>519</v>
      </c>
      <c r="B35" s="315" t="s">
        <v>1504</v>
      </c>
      <c r="C35" s="169" t="str">
        <f t="shared" si="1"/>
        <v>A</v>
      </c>
      <c r="D35" s="146" t="str">
        <f t="shared" si="2"/>
        <v>4</v>
      </c>
      <c r="E35" s="147" t="s">
        <v>12</v>
      </c>
      <c r="F35" s="147"/>
      <c r="G35" s="147"/>
      <c r="H35" s="148" t="s">
        <v>279</v>
      </c>
      <c r="I35" s="316">
        <v>2000</v>
      </c>
      <c r="J35" s="170">
        <f t="shared" si="3"/>
        <v>0</v>
      </c>
      <c r="K35" s="168">
        <f t="shared" si="4"/>
        <v>2000</v>
      </c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32">
        <f t="shared" si="5"/>
        <v>0</v>
      </c>
      <c r="AE35" s="132">
        <f t="shared" si="6"/>
        <v>2000</v>
      </c>
      <c r="AF35" s="150">
        <f t="shared" si="7"/>
        <v>0</v>
      </c>
    </row>
    <row r="36" spans="1:32" x14ac:dyDescent="0.25">
      <c r="A36" s="315" t="s">
        <v>561</v>
      </c>
      <c r="B36" s="315" t="s">
        <v>1289</v>
      </c>
      <c r="C36" s="169" t="str">
        <f t="shared" si="1"/>
        <v>A</v>
      </c>
      <c r="D36" s="146" t="str">
        <f t="shared" si="2"/>
        <v>1</v>
      </c>
      <c r="E36" s="147" t="s">
        <v>12</v>
      </c>
      <c r="F36" s="147"/>
      <c r="G36" s="147"/>
      <c r="H36" s="148" t="s">
        <v>279</v>
      </c>
      <c r="I36" s="316">
        <v>72500</v>
      </c>
      <c r="J36" s="170">
        <f t="shared" si="3"/>
        <v>0</v>
      </c>
      <c r="K36" s="168">
        <f t="shared" si="4"/>
        <v>72500</v>
      </c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32">
        <f t="shared" si="5"/>
        <v>0</v>
      </c>
      <c r="AE36" s="132">
        <f t="shared" si="6"/>
        <v>72500</v>
      </c>
      <c r="AF36" s="150">
        <f t="shared" si="7"/>
        <v>0</v>
      </c>
    </row>
    <row r="37" spans="1:32" x14ac:dyDescent="0.25">
      <c r="A37" s="315" t="s">
        <v>1178</v>
      </c>
      <c r="B37" s="315" t="s">
        <v>1687</v>
      </c>
      <c r="C37" s="169" t="str">
        <f t="shared" si="1"/>
        <v>A</v>
      </c>
      <c r="D37" s="146" t="str">
        <f t="shared" si="2"/>
        <v>4</v>
      </c>
      <c r="E37" s="147" t="s">
        <v>12</v>
      </c>
      <c r="F37" s="147"/>
      <c r="G37" s="147"/>
      <c r="H37" s="148" t="s">
        <v>279</v>
      </c>
      <c r="I37" s="316">
        <v>40500</v>
      </c>
      <c r="J37" s="170">
        <f t="shared" si="3"/>
        <v>0</v>
      </c>
      <c r="K37" s="168">
        <f t="shared" si="4"/>
        <v>40500</v>
      </c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32">
        <f t="shared" si="5"/>
        <v>0</v>
      </c>
      <c r="AE37" s="132">
        <f t="shared" si="6"/>
        <v>40500</v>
      </c>
      <c r="AF37" s="150">
        <f t="shared" si="7"/>
        <v>0</v>
      </c>
    </row>
    <row r="38" spans="1:32" x14ac:dyDescent="0.25">
      <c r="A38" s="315" t="s">
        <v>739</v>
      </c>
      <c r="B38" s="315" t="s">
        <v>1185</v>
      </c>
      <c r="C38" s="169" t="str">
        <f t="shared" si="1"/>
        <v>A</v>
      </c>
      <c r="D38" s="146" t="str">
        <f t="shared" si="2"/>
        <v>1</v>
      </c>
      <c r="E38" s="147" t="s">
        <v>12</v>
      </c>
      <c r="F38" s="147"/>
      <c r="G38" s="147"/>
      <c r="H38" s="148" t="s">
        <v>279</v>
      </c>
      <c r="I38" s="316">
        <v>243321</v>
      </c>
      <c r="J38" s="170">
        <f t="shared" si="3"/>
        <v>0</v>
      </c>
      <c r="K38" s="168">
        <f t="shared" si="4"/>
        <v>243321</v>
      </c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32">
        <f t="shared" si="5"/>
        <v>0</v>
      </c>
      <c r="AE38" s="132">
        <f t="shared" si="6"/>
        <v>243321</v>
      </c>
      <c r="AF38" s="150">
        <f t="shared" si="7"/>
        <v>0</v>
      </c>
    </row>
    <row r="39" spans="1:32" x14ac:dyDescent="0.25">
      <c r="A39" s="315" t="s">
        <v>709</v>
      </c>
      <c r="B39" s="315" t="s">
        <v>1236</v>
      </c>
      <c r="C39" s="169" t="str">
        <f t="shared" si="1"/>
        <v>A</v>
      </c>
      <c r="D39" s="146" t="str">
        <f t="shared" si="2"/>
        <v>1</v>
      </c>
      <c r="E39" s="147" t="s">
        <v>12</v>
      </c>
      <c r="F39" s="147"/>
      <c r="G39" s="147"/>
      <c r="H39" s="148" t="s">
        <v>279</v>
      </c>
      <c r="I39" s="316">
        <v>1000</v>
      </c>
      <c r="J39" s="170">
        <f t="shared" si="3"/>
        <v>0</v>
      </c>
      <c r="K39" s="168">
        <f t="shared" si="4"/>
        <v>1000</v>
      </c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32">
        <f t="shared" si="5"/>
        <v>0</v>
      </c>
      <c r="AE39" s="132">
        <f t="shared" si="6"/>
        <v>1000</v>
      </c>
      <c r="AF39" s="150">
        <f t="shared" si="7"/>
        <v>0</v>
      </c>
    </row>
    <row r="40" spans="1:32" x14ac:dyDescent="0.25">
      <c r="A40" s="315" t="s">
        <v>1066</v>
      </c>
      <c r="B40" s="315" t="s">
        <v>1119</v>
      </c>
      <c r="C40" s="169" t="str">
        <f t="shared" si="1"/>
        <v>A</v>
      </c>
      <c r="D40" s="146" t="str">
        <f t="shared" si="2"/>
        <v>4</v>
      </c>
      <c r="E40" s="147" t="s">
        <v>12</v>
      </c>
      <c r="F40" s="147"/>
      <c r="G40" s="147"/>
      <c r="H40" s="148" t="s">
        <v>279</v>
      </c>
      <c r="I40" s="316">
        <v>7000</v>
      </c>
      <c r="J40" s="170">
        <f t="shared" si="3"/>
        <v>0</v>
      </c>
      <c r="K40" s="168">
        <f t="shared" si="4"/>
        <v>7000</v>
      </c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32">
        <f t="shared" si="5"/>
        <v>0</v>
      </c>
      <c r="AE40" s="132">
        <f t="shared" si="6"/>
        <v>7000</v>
      </c>
      <c r="AF40" s="150">
        <f t="shared" si="7"/>
        <v>0</v>
      </c>
    </row>
    <row r="41" spans="1:32" x14ac:dyDescent="0.25">
      <c r="A41" s="315" t="s">
        <v>569</v>
      </c>
      <c r="B41" s="315" t="s">
        <v>589</v>
      </c>
      <c r="C41" s="169" t="str">
        <f t="shared" si="1"/>
        <v>A</v>
      </c>
      <c r="D41" s="146" t="str">
        <f t="shared" si="2"/>
        <v>4</v>
      </c>
      <c r="E41" s="147" t="s">
        <v>12</v>
      </c>
      <c r="F41" s="147"/>
      <c r="G41" s="147"/>
      <c r="H41" s="148" t="s">
        <v>279</v>
      </c>
      <c r="I41" s="316">
        <v>1920</v>
      </c>
      <c r="J41" s="170">
        <f t="shared" si="3"/>
        <v>0</v>
      </c>
      <c r="K41" s="168">
        <f t="shared" si="4"/>
        <v>1920</v>
      </c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32">
        <f t="shared" si="5"/>
        <v>0</v>
      </c>
      <c r="AE41" s="132">
        <f t="shared" si="6"/>
        <v>1920</v>
      </c>
      <c r="AF41" s="150">
        <f t="shared" si="7"/>
        <v>0</v>
      </c>
    </row>
    <row r="42" spans="1:32" x14ac:dyDescent="0.25">
      <c r="A42" s="315" t="s">
        <v>1298</v>
      </c>
      <c r="B42" s="315" t="s">
        <v>1302</v>
      </c>
      <c r="C42" s="169" t="str">
        <f t="shared" si="1"/>
        <v>A</v>
      </c>
      <c r="D42" s="146" t="str">
        <f t="shared" si="2"/>
        <v>4</v>
      </c>
      <c r="E42" s="147" t="s">
        <v>12</v>
      </c>
      <c r="F42" s="147"/>
      <c r="G42" s="147"/>
      <c r="H42" s="148" t="s">
        <v>279</v>
      </c>
      <c r="I42" s="316">
        <v>4560</v>
      </c>
      <c r="J42" s="170">
        <f t="shared" si="3"/>
        <v>0</v>
      </c>
      <c r="K42" s="168">
        <f t="shared" si="4"/>
        <v>4560</v>
      </c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32">
        <f t="shared" si="5"/>
        <v>0</v>
      </c>
      <c r="AE42" s="132">
        <f t="shared" si="6"/>
        <v>4560</v>
      </c>
      <c r="AF42" s="150">
        <f t="shared" si="7"/>
        <v>0</v>
      </c>
    </row>
    <row r="43" spans="1:32" x14ac:dyDescent="0.25">
      <c r="A43" s="315" t="s">
        <v>982</v>
      </c>
      <c r="B43" s="315" t="s">
        <v>1684</v>
      </c>
      <c r="C43" s="169" t="str">
        <f t="shared" si="1"/>
        <v>A</v>
      </c>
      <c r="D43" s="146" t="str">
        <f t="shared" si="2"/>
        <v>4</v>
      </c>
      <c r="E43" s="147" t="s">
        <v>12</v>
      </c>
      <c r="F43" s="147"/>
      <c r="G43" s="147"/>
      <c r="H43" s="148" t="s">
        <v>279</v>
      </c>
      <c r="I43" s="316">
        <v>26286</v>
      </c>
      <c r="J43" s="170">
        <f t="shared" si="3"/>
        <v>0</v>
      </c>
      <c r="K43" s="168">
        <f t="shared" si="4"/>
        <v>26286</v>
      </c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32">
        <f t="shared" si="5"/>
        <v>0</v>
      </c>
      <c r="AE43" s="132">
        <f t="shared" si="6"/>
        <v>26286</v>
      </c>
      <c r="AF43" s="150">
        <f t="shared" si="7"/>
        <v>0</v>
      </c>
    </row>
    <row r="44" spans="1:32" x14ac:dyDescent="0.25">
      <c r="A44" s="315" t="s">
        <v>857</v>
      </c>
      <c r="B44" s="315" t="s">
        <v>1117</v>
      </c>
      <c r="C44" s="169" t="str">
        <f t="shared" si="1"/>
        <v>A</v>
      </c>
      <c r="D44" s="146" t="str">
        <f t="shared" si="2"/>
        <v>4</v>
      </c>
      <c r="E44" s="147" t="s">
        <v>12</v>
      </c>
      <c r="F44" s="147"/>
      <c r="G44" s="147"/>
      <c r="H44" s="148" t="s">
        <v>279</v>
      </c>
      <c r="I44" s="316">
        <v>8092</v>
      </c>
      <c r="J44" s="170">
        <f t="shared" si="3"/>
        <v>0</v>
      </c>
      <c r="K44" s="168">
        <f t="shared" si="4"/>
        <v>8092</v>
      </c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32">
        <f t="shared" si="5"/>
        <v>0</v>
      </c>
      <c r="AE44" s="132">
        <f t="shared" si="6"/>
        <v>8092</v>
      </c>
      <c r="AF44" s="150">
        <f t="shared" si="7"/>
        <v>0</v>
      </c>
    </row>
    <row r="45" spans="1:32" x14ac:dyDescent="0.25">
      <c r="A45" s="315" t="s">
        <v>1482</v>
      </c>
      <c r="B45" s="315" t="s">
        <v>1441</v>
      </c>
      <c r="C45" s="169" t="str">
        <f t="shared" si="1"/>
        <v>A</v>
      </c>
      <c r="D45" s="146" t="str">
        <f t="shared" si="2"/>
        <v>4</v>
      </c>
      <c r="E45" s="147" t="s">
        <v>12</v>
      </c>
      <c r="F45" s="147"/>
      <c r="G45" s="147"/>
      <c r="H45" s="148" t="s">
        <v>279</v>
      </c>
      <c r="I45" s="316">
        <v>8000</v>
      </c>
      <c r="J45" s="170">
        <f t="shared" si="3"/>
        <v>0</v>
      </c>
      <c r="K45" s="168">
        <f t="shared" si="4"/>
        <v>8000</v>
      </c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32">
        <f t="shared" si="5"/>
        <v>0</v>
      </c>
      <c r="AE45" s="132">
        <f t="shared" si="6"/>
        <v>8000</v>
      </c>
      <c r="AF45" s="150">
        <f t="shared" si="7"/>
        <v>0</v>
      </c>
    </row>
    <row r="46" spans="1:32" x14ac:dyDescent="0.25">
      <c r="A46" s="315" t="s">
        <v>1410</v>
      </c>
      <c r="B46" s="315" t="s">
        <v>1008</v>
      </c>
      <c r="C46" s="169" t="str">
        <f t="shared" si="1"/>
        <v>A</v>
      </c>
      <c r="D46" s="146" t="str">
        <f t="shared" si="2"/>
        <v>4</v>
      </c>
      <c r="E46" s="147" t="s">
        <v>12</v>
      </c>
      <c r="F46" s="147"/>
      <c r="G46" s="147"/>
      <c r="H46" s="148" t="s">
        <v>279</v>
      </c>
      <c r="I46" s="316">
        <v>131654</v>
      </c>
      <c r="J46" s="170">
        <f t="shared" si="3"/>
        <v>0</v>
      </c>
      <c r="K46" s="168">
        <f t="shared" si="4"/>
        <v>131654</v>
      </c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32">
        <f t="shared" si="5"/>
        <v>0</v>
      </c>
      <c r="AE46" s="132">
        <f t="shared" si="6"/>
        <v>131654</v>
      </c>
      <c r="AF46" s="150">
        <f t="shared" si="7"/>
        <v>0</v>
      </c>
    </row>
    <row r="47" spans="1:32" x14ac:dyDescent="0.25">
      <c r="A47" s="315" t="s">
        <v>1404</v>
      </c>
      <c r="B47" s="315" t="s">
        <v>1101</v>
      </c>
      <c r="C47" s="169" t="str">
        <f t="shared" si="1"/>
        <v>A</v>
      </c>
      <c r="D47" s="146" t="str">
        <f t="shared" si="2"/>
        <v>1</v>
      </c>
      <c r="E47" s="147" t="s">
        <v>13</v>
      </c>
      <c r="F47" s="147"/>
      <c r="G47" s="147"/>
      <c r="H47" s="148" t="s">
        <v>279</v>
      </c>
      <c r="I47" s="316">
        <v>528493</v>
      </c>
      <c r="J47" s="170">
        <f t="shared" si="3"/>
        <v>0</v>
      </c>
      <c r="K47" s="168">
        <f t="shared" si="4"/>
        <v>528493</v>
      </c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32">
        <f t="shared" si="5"/>
        <v>0</v>
      </c>
      <c r="AE47" s="132">
        <f t="shared" si="6"/>
        <v>528493</v>
      </c>
      <c r="AF47" s="150">
        <f t="shared" si="7"/>
        <v>0</v>
      </c>
    </row>
    <row r="48" spans="1:32" x14ac:dyDescent="0.25">
      <c r="A48" s="315" t="s">
        <v>648</v>
      </c>
      <c r="B48" s="315" t="s">
        <v>1620</v>
      </c>
      <c r="C48" s="169" t="str">
        <f t="shared" si="1"/>
        <v>A</v>
      </c>
      <c r="D48" s="146" t="str">
        <f t="shared" si="2"/>
        <v>1</v>
      </c>
      <c r="E48" s="147" t="s">
        <v>13</v>
      </c>
      <c r="F48" s="147"/>
      <c r="G48" s="147"/>
      <c r="H48" s="148" t="s">
        <v>279</v>
      </c>
      <c r="I48" s="316">
        <v>342336</v>
      </c>
      <c r="J48" s="170">
        <f t="shared" si="3"/>
        <v>0</v>
      </c>
      <c r="K48" s="168">
        <f t="shared" si="4"/>
        <v>342336</v>
      </c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32">
        <f t="shared" si="5"/>
        <v>0</v>
      </c>
      <c r="AE48" s="132">
        <f t="shared" si="6"/>
        <v>342336</v>
      </c>
      <c r="AF48" s="150">
        <f t="shared" si="7"/>
        <v>0</v>
      </c>
    </row>
    <row r="49" spans="1:32" x14ac:dyDescent="0.25">
      <c r="A49" s="315" t="s">
        <v>1729</v>
      </c>
      <c r="B49" s="315" t="s">
        <v>1741</v>
      </c>
      <c r="C49" s="169" t="str">
        <f t="shared" si="1"/>
        <v>A</v>
      </c>
      <c r="D49" s="146" t="str">
        <f t="shared" si="2"/>
        <v>1</v>
      </c>
      <c r="E49" s="147" t="s">
        <v>13</v>
      </c>
      <c r="F49" s="147"/>
      <c r="G49" s="147"/>
      <c r="H49" s="148" t="s">
        <v>279</v>
      </c>
      <c r="I49" s="316">
        <v>156397</v>
      </c>
      <c r="J49" s="170">
        <f t="shared" si="3"/>
        <v>0</v>
      </c>
      <c r="K49" s="168">
        <f t="shared" si="4"/>
        <v>156397</v>
      </c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32">
        <f t="shared" si="5"/>
        <v>0</v>
      </c>
      <c r="AE49" s="132">
        <f t="shared" si="6"/>
        <v>156397</v>
      </c>
      <c r="AF49" s="150">
        <f t="shared" si="7"/>
        <v>0</v>
      </c>
    </row>
    <row r="50" spans="1:32" x14ac:dyDescent="0.25">
      <c r="A50" s="315" t="s">
        <v>907</v>
      </c>
      <c r="B50" s="315" t="s">
        <v>649</v>
      </c>
      <c r="C50" s="169" t="str">
        <f t="shared" si="1"/>
        <v>A</v>
      </c>
      <c r="D50" s="146" t="str">
        <f t="shared" si="2"/>
        <v>1</v>
      </c>
      <c r="E50" s="147" t="s">
        <v>13</v>
      </c>
      <c r="F50" s="147"/>
      <c r="G50" s="147"/>
      <c r="H50" s="148" t="s">
        <v>279</v>
      </c>
      <c r="I50" s="316">
        <v>129098</v>
      </c>
      <c r="J50" s="170">
        <f t="shared" si="3"/>
        <v>0</v>
      </c>
      <c r="K50" s="168">
        <f t="shared" si="4"/>
        <v>129098</v>
      </c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32">
        <f t="shared" si="5"/>
        <v>0</v>
      </c>
      <c r="AE50" s="132">
        <f t="shared" si="6"/>
        <v>129098</v>
      </c>
      <c r="AF50" s="150">
        <f t="shared" si="7"/>
        <v>0</v>
      </c>
    </row>
    <row r="51" spans="1:32" x14ac:dyDescent="0.25">
      <c r="A51" s="315" t="s">
        <v>1037</v>
      </c>
      <c r="B51" s="315" t="s">
        <v>1609</v>
      </c>
      <c r="C51" s="169" t="str">
        <f t="shared" si="1"/>
        <v>A</v>
      </c>
      <c r="D51" s="146" t="str">
        <f t="shared" si="2"/>
        <v>1</v>
      </c>
      <c r="E51" s="147" t="s">
        <v>13</v>
      </c>
      <c r="F51" s="147"/>
      <c r="G51" s="147"/>
      <c r="H51" s="148" t="s">
        <v>279</v>
      </c>
      <c r="I51" s="316">
        <v>172747</v>
      </c>
      <c r="J51" s="170">
        <f t="shared" si="3"/>
        <v>0</v>
      </c>
      <c r="K51" s="168">
        <f t="shared" si="4"/>
        <v>172747</v>
      </c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32">
        <f t="shared" si="5"/>
        <v>0</v>
      </c>
      <c r="AE51" s="132">
        <f t="shared" si="6"/>
        <v>172747</v>
      </c>
      <c r="AF51" s="150">
        <f t="shared" si="7"/>
        <v>0</v>
      </c>
    </row>
    <row r="52" spans="1:32" x14ac:dyDescent="0.25">
      <c r="A52" s="315" t="s">
        <v>1460</v>
      </c>
      <c r="B52" s="315" t="s">
        <v>744</v>
      </c>
      <c r="C52" s="169" t="str">
        <f t="shared" si="1"/>
        <v>A</v>
      </c>
      <c r="D52" s="146" t="str">
        <f t="shared" si="2"/>
        <v>1</v>
      </c>
      <c r="E52" s="147" t="s">
        <v>13</v>
      </c>
      <c r="F52" s="147"/>
      <c r="G52" s="147"/>
      <c r="H52" s="148" t="s">
        <v>279</v>
      </c>
      <c r="I52" s="316">
        <v>89935</v>
      </c>
      <c r="J52" s="170">
        <f t="shared" si="3"/>
        <v>0</v>
      </c>
      <c r="K52" s="168">
        <f t="shared" si="4"/>
        <v>89935</v>
      </c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32">
        <f t="shared" si="5"/>
        <v>0</v>
      </c>
      <c r="AE52" s="132">
        <f t="shared" si="6"/>
        <v>89935</v>
      </c>
      <c r="AF52" s="150">
        <f t="shared" si="7"/>
        <v>0</v>
      </c>
    </row>
    <row r="53" spans="1:32" x14ac:dyDescent="0.25">
      <c r="A53" s="315" t="s">
        <v>1385</v>
      </c>
      <c r="B53" s="315" t="s">
        <v>999</v>
      </c>
      <c r="C53" s="169" t="str">
        <f t="shared" si="1"/>
        <v>A</v>
      </c>
      <c r="D53" s="146" t="str">
        <f t="shared" si="2"/>
        <v>1</v>
      </c>
      <c r="E53" s="147" t="s">
        <v>13</v>
      </c>
      <c r="F53" s="147"/>
      <c r="G53" s="147"/>
      <c r="H53" s="148" t="s">
        <v>279</v>
      </c>
      <c r="I53" s="316">
        <v>5000</v>
      </c>
      <c r="J53" s="170">
        <f t="shared" si="3"/>
        <v>0</v>
      </c>
      <c r="K53" s="168">
        <f t="shared" si="4"/>
        <v>5000</v>
      </c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32">
        <f t="shared" si="5"/>
        <v>0</v>
      </c>
      <c r="AE53" s="132">
        <f t="shared" si="6"/>
        <v>5000</v>
      </c>
      <c r="AF53" s="150">
        <f t="shared" si="7"/>
        <v>0</v>
      </c>
    </row>
    <row r="54" spans="1:32" x14ac:dyDescent="0.25">
      <c r="A54" s="315" t="s">
        <v>1097</v>
      </c>
      <c r="B54" s="315" t="s">
        <v>1604</v>
      </c>
      <c r="C54" s="169" t="str">
        <f t="shared" si="1"/>
        <v>A</v>
      </c>
      <c r="D54" s="146" t="str">
        <f t="shared" si="2"/>
        <v>1</v>
      </c>
      <c r="E54" s="147" t="s">
        <v>13</v>
      </c>
      <c r="F54" s="147"/>
      <c r="G54" s="147"/>
      <c r="H54" s="148" t="s">
        <v>279</v>
      </c>
      <c r="I54" s="316">
        <v>50000</v>
      </c>
      <c r="J54" s="170">
        <f t="shared" si="3"/>
        <v>0</v>
      </c>
      <c r="K54" s="168">
        <f t="shared" si="4"/>
        <v>50000</v>
      </c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32">
        <f t="shared" si="5"/>
        <v>0</v>
      </c>
      <c r="AE54" s="132">
        <f t="shared" si="6"/>
        <v>50000</v>
      </c>
      <c r="AF54" s="150">
        <f t="shared" si="7"/>
        <v>0</v>
      </c>
    </row>
    <row r="55" spans="1:32" x14ac:dyDescent="0.25">
      <c r="A55" s="315" t="s">
        <v>1128</v>
      </c>
      <c r="B55" s="315" t="s">
        <v>723</v>
      </c>
      <c r="C55" s="169" t="str">
        <f t="shared" si="1"/>
        <v>A</v>
      </c>
      <c r="D55" s="146" t="str">
        <f t="shared" si="2"/>
        <v>1</v>
      </c>
      <c r="E55" s="147" t="s">
        <v>13</v>
      </c>
      <c r="F55" s="147"/>
      <c r="G55" s="147"/>
      <c r="H55" s="148" t="s">
        <v>279</v>
      </c>
      <c r="I55" s="316">
        <v>10000</v>
      </c>
      <c r="J55" s="170">
        <f t="shared" si="3"/>
        <v>0</v>
      </c>
      <c r="K55" s="168">
        <f t="shared" si="4"/>
        <v>10000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32">
        <f t="shared" si="5"/>
        <v>0</v>
      </c>
      <c r="AE55" s="132">
        <f t="shared" si="6"/>
        <v>10000</v>
      </c>
      <c r="AF55" s="150">
        <f t="shared" si="7"/>
        <v>0</v>
      </c>
    </row>
    <row r="56" spans="1:32" x14ac:dyDescent="0.25">
      <c r="A56" s="315" t="s">
        <v>1287</v>
      </c>
      <c r="B56" s="315" t="s">
        <v>1030</v>
      </c>
      <c r="C56" s="169" t="str">
        <f t="shared" si="1"/>
        <v>A</v>
      </c>
      <c r="D56" s="146" t="str">
        <f t="shared" si="2"/>
        <v>1</v>
      </c>
      <c r="E56" s="147" t="s">
        <v>13</v>
      </c>
      <c r="F56" s="147"/>
      <c r="G56" s="147"/>
      <c r="H56" s="148" t="s">
        <v>279</v>
      </c>
      <c r="I56" s="316">
        <v>7500</v>
      </c>
      <c r="J56" s="170">
        <f t="shared" si="3"/>
        <v>0</v>
      </c>
      <c r="K56" s="168">
        <f t="shared" si="4"/>
        <v>7500</v>
      </c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32">
        <f t="shared" si="5"/>
        <v>0</v>
      </c>
      <c r="AE56" s="132">
        <f t="shared" si="6"/>
        <v>7500</v>
      </c>
      <c r="AF56" s="150">
        <f t="shared" si="7"/>
        <v>0</v>
      </c>
    </row>
    <row r="57" spans="1:32" x14ac:dyDescent="0.25">
      <c r="A57" s="315" t="s">
        <v>479</v>
      </c>
      <c r="B57" s="315" t="s">
        <v>1695</v>
      </c>
      <c r="C57" s="169" t="str">
        <f t="shared" si="1"/>
        <v>A</v>
      </c>
      <c r="D57" s="146" t="str">
        <f t="shared" si="2"/>
        <v>1</v>
      </c>
      <c r="E57" s="147" t="s">
        <v>13</v>
      </c>
      <c r="F57" s="147"/>
      <c r="G57" s="147"/>
      <c r="H57" s="148" t="s">
        <v>279</v>
      </c>
      <c r="I57" s="316">
        <v>7500</v>
      </c>
      <c r="J57" s="170">
        <f t="shared" si="3"/>
        <v>0</v>
      </c>
      <c r="K57" s="168">
        <f t="shared" si="4"/>
        <v>7500</v>
      </c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32">
        <f t="shared" si="5"/>
        <v>0</v>
      </c>
      <c r="AE57" s="132">
        <f t="shared" si="6"/>
        <v>7500</v>
      </c>
      <c r="AF57" s="150">
        <f t="shared" si="7"/>
        <v>0</v>
      </c>
    </row>
    <row r="58" spans="1:32" x14ac:dyDescent="0.25">
      <c r="A58" s="315" t="s">
        <v>1316</v>
      </c>
      <c r="B58" s="315" t="s">
        <v>799</v>
      </c>
      <c r="C58" s="169" t="str">
        <f t="shared" si="1"/>
        <v>A</v>
      </c>
      <c r="D58" s="146" t="str">
        <f t="shared" si="2"/>
        <v>1</v>
      </c>
      <c r="E58" s="147" t="s">
        <v>13</v>
      </c>
      <c r="F58" s="147"/>
      <c r="G58" s="147"/>
      <c r="H58" s="148" t="s">
        <v>279</v>
      </c>
      <c r="I58" s="316">
        <v>7500</v>
      </c>
      <c r="J58" s="170">
        <f t="shared" si="3"/>
        <v>0</v>
      </c>
      <c r="K58" s="168">
        <f t="shared" si="4"/>
        <v>7500</v>
      </c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32">
        <f t="shared" si="5"/>
        <v>0</v>
      </c>
      <c r="AE58" s="132">
        <f t="shared" si="6"/>
        <v>7500</v>
      </c>
      <c r="AF58" s="150">
        <f t="shared" si="7"/>
        <v>0</v>
      </c>
    </row>
    <row r="59" spans="1:32" x14ac:dyDescent="0.25">
      <c r="A59" s="315" t="s">
        <v>1261</v>
      </c>
      <c r="B59" s="315" t="s">
        <v>1477</v>
      </c>
      <c r="C59" s="169" t="str">
        <f t="shared" si="1"/>
        <v>A</v>
      </c>
      <c r="D59" s="146" t="str">
        <f t="shared" si="2"/>
        <v>1</v>
      </c>
      <c r="E59" s="147" t="s">
        <v>13</v>
      </c>
      <c r="F59" s="147"/>
      <c r="G59" s="147"/>
      <c r="H59" s="148" t="s">
        <v>279</v>
      </c>
      <c r="I59" s="316">
        <v>30000</v>
      </c>
      <c r="J59" s="170">
        <f t="shared" si="3"/>
        <v>0</v>
      </c>
      <c r="K59" s="168">
        <f t="shared" si="4"/>
        <v>30000</v>
      </c>
      <c r="L59" s="147"/>
      <c r="M59" s="149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32">
        <f t="shared" si="5"/>
        <v>0</v>
      </c>
      <c r="AE59" s="132">
        <f t="shared" si="6"/>
        <v>30000</v>
      </c>
      <c r="AF59" s="150">
        <f t="shared" si="7"/>
        <v>0</v>
      </c>
    </row>
    <row r="60" spans="1:32" x14ac:dyDescent="0.25">
      <c r="A60" s="315" t="s">
        <v>1350</v>
      </c>
      <c r="B60" s="315" t="s">
        <v>1059</v>
      </c>
      <c r="C60" s="169" t="str">
        <f t="shared" si="1"/>
        <v>A</v>
      </c>
      <c r="D60" s="146" t="str">
        <f t="shared" si="2"/>
        <v>2</v>
      </c>
      <c r="E60" s="147" t="s">
        <v>13</v>
      </c>
      <c r="F60" s="147"/>
      <c r="G60" s="147"/>
      <c r="H60" s="148" t="s">
        <v>279</v>
      </c>
      <c r="I60" s="316">
        <v>4000</v>
      </c>
      <c r="J60" s="170">
        <f t="shared" si="3"/>
        <v>0</v>
      </c>
      <c r="K60" s="168">
        <f t="shared" si="4"/>
        <v>4000</v>
      </c>
      <c r="L60" s="147"/>
      <c r="M60" s="149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32">
        <f t="shared" si="5"/>
        <v>0</v>
      </c>
      <c r="AE60" s="132">
        <f t="shared" si="6"/>
        <v>4000</v>
      </c>
      <c r="AF60" s="150">
        <f t="shared" si="7"/>
        <v>0</v>
      </c>
    </row>
    <row r="61" spans="1:32" x14ac:dyDescent="0.25">
      <c r="A61" s="315" t="s">
        <v>981</v>
      </c>
      <c r="B61" s="315" t="s">
        <v>1189</v>
      </c>
      <c r="C61" s="169" t="str">
        <f t="shared" si="1"/>
        <v>A</v>
      </c>
      <c r="D61" s="146" t="str">
        <f t="shared" si="2"/>
        <v>2</v>
      </c>
      <c r="E61" s="147" t="s">
        <v>13</v>
      </c>
      <c r="F61" s="147"/>
      <c r="G61" s="147"/>
      <c r="H61" s="148" t="s">
        <v>279</v>
      </c>
      <c r="I61" s="316">
        <v>4800</v>
      </c>
      <c r="J61" s="170">
        <f t="shared" si="3"/>
        <v>0</v>
      </c>
      <c r="K61" s="168">
        <f t="shared" si="4"/>
        <v>4800</v>
      </c>
      <c r="L61" s="147"/>
      <c r="M61" s="149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32">
        <f t="shared" si="5"/>
        <v>0</v>
      </c>
      <c r="AE61" s="132">
        <f t="shared" si="6"/>
        <v>4800</v>
      </c>
      <c r="AF61" s="150">
        <f t="shared" si="7"/>
        <v>0</v>
      </c>
    </row>
    <row r="62" spans="1:32" x14ac:dyDescent="0.25">
      <c r="A62" s="315" t="s">
        <v>779</v>
      </c>
      <c r="B62" s="315" t="s">
        <v>776</v>
      </c>
      <c r="C62" s="169" t="str">
        <f t="shared" si="1"/>
        <v>A</v>
      </c>
      <c r="D62" s="146" t="str">
        <f t="shared" si="2"/>
        <v>4</v>
      </c>
      <c r="E62" s="147" t="s">
        <v>13</v>
      </c>
      <c r="F62" s="147"/>
      <c r="G62" s="147"/>
      <c r="H62" s="148" t="s">
        <v>279</v>
      </c>
      <c r="I62" s="316">
        <v>52000</v>
      </c>
      <c r="J62" s="170">
        <f t="shared" si="3"/>
        <v>0</v>
      </c>
      <c r="K62" s="168">
        <f t="shared" si="4"/>
        <v>52000</v>
      </c>
      <c r="L62" s="147"/>
      <c r="M62" s="149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32">
        <f t="shared" si="5"/>
        <v>0</v>
      </c>
      <c r="AE62" s="132">
        <f t="shared" si="6"/>
        <v>52000</v>
      </c>
      <c r="AF62" s="150">
        <f t="shared" si="7"/>
        <v>0</v>
      </c>
    </row>
    <row r="63" spans="1:32" x14ac:dyDescent="0.25">
      <c r="A63" s="315" t="s">
        <v>1534</v>
      </c>
      <c r="B63" s="315" t="s">
        <v>1022</v>
      </c>
      <c r="C63" s="169" t="str">
        <f t="shared" si="1"/>
        <v>A</v>
      </c>
      <c r="D63" s="146" t="str">
        <f t="shared" si="2"/>
        <v>4</v>
      </c>
      <c r="E63" s="147" t="s">
        <v>13</v>
      </c>
      <c r="F63" s="147"/>
      <c r="G63" s="147"/>
      <c r="H63" s="148" t="s">
        <v>279</v>
      </c>
      <c r="I63" s="316">
        <v>17000</v>
      </c>
      <c r="J63" s="170">
        <f t="shared" si="3"/>
        <v>0</v>
      </c>
      <c r="K63" s="168">
        <f t="shared" si="4"/>
        <v>17000</v>
      </c>
      <c r="L63" s="147"/>
      <c r="M63" s="149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32">
        <f t="shared" si="5"/>
        <v>0</v>
      </c>
      <c r="AE63" s="132">
        <f t="shared" si="6"/>
        <v>17000</v>
      </c>
      <c r="AF63" s="150">
        <f t="shared" si="7"/>
        <v>0</v>
      </c>
    </row>
    <row r="64" spans="1:32" x14ac:dyDescent="0.25">
      <c r="A64" s="315" t="s">
        <v>685</v>
      </c>
      <c r="B64" s="315" t="s">
        <v>1346</v>
      </c>
      <c r="C64" s="169" t="str">
        <f t="shared" si="1"/>
        <v>A</v>
      </c>
      <c r="D64" s="146" t="str">
        <f t="shared" si="2"/>
        <v>4</v>
      </c>
      <c r="E64" s="147" t="s">
        <v>13</v>
      </c>
      <c r="F64" s="147"/>
      <c r="G64" s="147"/>
      <c r="H64" s="148" t="s">
        <v>279</v>
      </c>
      <c r="I64" s="316">
        <v>30000</v>
      </c>
      <c r="J64" s="170">
        <f t="shared" si="3"/>
        <v>0</v>
      </c>
      <c r="K64" s="168">
        <f t="shared" si="4"/>
        <v>30000</v>
      </c>
      <c r="L64" s="147"/>
      <c r="M64" s="149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32">
        <f t="shared" si="5"/>
        <v>0</v>
      </c>
      <c r="AE64" s="132">
        <f t="shared" si="6"/>
        <v>30000</v>
      </c>
      <c r="AF64" s="150">
        <f t="shared" si="7"/>
        <v>0</v>
      </c>
    </row>
    <row r="65" spans="1:32" x14ac:dyDescent="0.25">
      <c r="A65" s="315" t="s">
        <v>487</v>
      </c>
      <c r="B65" s="315" t="s">
        <v>1198</v>
      </c>
      <c r="C65" s="169" t="str">
        <f t="shared" si="1"/>
        <v>A</v>
      </c>
      <c r="D65" s="146" t="str">
        <f t="shared" si="2"/>
        <v>4</v>
      </c>
      <c r="E65" s="147" t="s">
        <v>13</v>
      </c>
      <c r="F65" s="147"/>
      <c r="G65" s="147"/>
      <c r="H65" s="148" t="s">
        <v>279</v>
      </c>
      <c r="I65" s="316">
        <v>12000</v>
      </c>
      <c r="J65" s="170">
        <f t="shared" si="3"/>
        <v>0</v>
      </c>
      <c r="K65" s="168">
        <f t="shared" si="4"/>
        <v>12000</v>
      </c>
      <c r="L65" s="147"/>
      <c r="M65" s="149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32">
        <f t="shared" si="5"/>
        <v>0</v>
      </c>
      <c r="AE65" s="132">
        <f t="shared" si="6"/>
        <v>12000</v>
      </c>
      <c r="AF65" s="150">
        <f t="shared" si="7"/>
        <v>0</v>
      </c>
    </row>
    <row r="66" spans="1:32" x14ac:dyDescent="0.25">
      <c r="A66" s="315" t="s">
        <v>1669</v>
      </c>
      <c r="B66" s="315" t="s">
        <v>574</v>
      </c>
      <c r="C66" s="169" t="str">
        <f t="shared" si="1"/>
        <v>A</v>
      </c>
      <c r="D66" s="146" t="str">
        <f t="shared" si="2"/>
        <v>4</v>
      </c>
      <c r="E66" s="147" t="s">
        <v>13</v>
      </c>
      <c r="F66" s="147"/>
      <c r="G66" s="147"/>
      <c r="H66" s="148" t="s">
        <v>279</v>
      </c>
      <c r="I66" s="316">
        <v>8000</v>
      </c>
      <c r="J66" s="170">
        <f t="shared" si="3"/>
        <v>0</v>
      </c>
      <c r="K66" s="168">
        <f t="shared" si="4"/>
        <v>8000</v>
      </c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32">
        <f t="shared" si="5"/>
        <v>0</v>
      </c>
      <c r="AE66" s="132">
        <f t="shared" si="6"/>
        <v>8000</v>
      </c>
      <c r="AF66" s="150">
        <f t="shared" si="7"/>
        <v>0</v>
      </c>
    </row>
    <row r="67" spans="1:32" x14ac:dyDescent="0.25">
      <c r="A67" s="315" t="s">
        <v>1661</v>
      </c>
      <c r="B67" s="315" t="s">
        <v>605</v>
      </c>
      <c r="C67" s="169" t="str">
        <f t="shared" si="1"/>
        <v>A</v>
      </c>
      <c r="D67" s="146" t="str">
        <f t="shared" si="2"/>
        <v>4</v>
      </c>
      <c r="E67" s="147" t="s">
        <v>13</v>
      </c>
      <c r="F67" s="147"/>
      <c r="G67" s="147"/>
      <c r="H67" s="148" t="s">
        <v>279</v>
      </c>
      <c r="I67" s="316">
        <v>129000</v>
      </c>
      <c r="J67" s="170">
        <f t="shared" si="3"/>
        <v>0</v>
      </c>
      <c r="K67" s="168">
        <f t="shared" si="4"/>
        <v>129000</v>
      </c>
      <c r="L67" s="147"/>
      <c r="M67" s="149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32">
        <f t="shared" si="5"/>
        <v>0</v>
      </c>
      <c r="AE67" s="132">
        <f t="shared" si="6"/>
        <v>129000</v>
      </c>
      <c r="AF67" s="150">
        <f t="shared" si="7"/>
        <v>0</v>
      </c>
    </row>
    <row r="68" spans="1:32" x14ac:dyDescent="0.25">
      <c r="A68" s="315" t="s">
        <v>1164</v>
      </c>
      <c r="B68" s="315" t="s">
        <v>923</v>
      </c>
      <c r="C68" s="169" t="str">
        <f t="shared" si="1"/>
        <v>A</v>
      </c>
      <c r="D68" s="146" t="str">
        <f t="shared" si="2"/>
        <v>4</v>
      </c>
      <c r="E68" s="147" t="s">
        <v>13</v>
      </c>
      <c r="F68" s="147"/>
      <c r="G68" s="147"/>
      <c r="H68" s="148" t="s">
        <v>279</v>
      </c>
      <c r="I68" s="316">
        <v>82125</v>
      </c>
      <c r="J68" s="170">
        <f t="shared" si="3"/>
        <v>0</v>
      </c>
      <c r="K68" s="168">
        <f t="shared" si="4"/>
        <v>82125</v>
      </c>
      <c r="L68" s="147"/>
      <c r="M68" s="149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32">
        <f t="shared" si="5"/>
        <v>0</v>
      </c>
      <c r="AE68" s="132">
        <f t="shared" si="6"/>
        <v>82125</v>
      </c>
      <c r="AF68" s="150">
        <f t="shared" si="7"/>
        <v>0</v>
      </c>
    </row>
    <row r="69" spans="1:32" x14ac:dyDescent="0.25">
      <c r="A69" s="315" t="s">
        <v>1361</v>
      </c>
      <c r="B69" s="315" t="s">
        <v>1327</v>
      </c>
      <c r="C69" s="169" t="str">
        <f t="shared" si="1"/>
        <v>A</v>
      </c>
      <c r="D69" s="146" t="str">
        <f t="shared" si="2"/>
        <v>4</v>
      </c>
      <c r="E69" s="147" t="s">
        <v>13</v>
      </c>
      <c r="F69" s="147"/>
      <c r="G69" s="147"/>
      <c r="H69" s="148" t="s">
        <v>279</v>
      </c>
      <c r="I69" s="316">
        <v>9476</v>
      </c>
      <c r="J69" s="170">
        <f t="shared" si="3"/>
        <v>0</v>
      </c>
      <c r="K69" s="168">
        <f t="shared" si="4"/>
        <v>9476</v>
      </c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32">
        <f t="shared" si="5"/>
        <v>0</v>
      </c>
      <c r="AE69" s="132">
        <f t="shared" si="6"/>
        <v>9476</v>
      </c>
      <c r="AF69" s="150">
        <f t="shared" si="7"/>
        <v>0</v>
      </c>
    </row>
    <row r="70" spans="1:32" x14ac:dyDescent="0.25">
      <c r="A70" s="315" t="s">
        <v>1673</v>
      </c>
      <c r="B70" s="315" t="s">
        <v>491</v>
      </c>
      <c r="C70" s="169" t="str">
        <f t="shared" si="1"/>
        <v>A</v>
      </c>
      <c r="D70" s="146" t="str">
        <f t="shared" si="2"/>
        <v>4</v>
      </c>
      <c r="E70" s="147" t="s">
        <v>13</v>
      </c>
      <c r="F70" s="147"/>
      <c r="G70" s="147"/>
      <c r="H70" s="148" t="s">
        <v>279</v>
      </c>
      <c r="I70" s="316">
        <v>475000</v>
      </c>
      <c r="J70" s="170">
        <f t="shared" si="3"/>
        <v>0</v>
      </c>
      <c r="K70" s="168">
        <f t="shared" si="4"/>
        <v>475000</v>
      </c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32">
        <f t="shared" si="5"/>
        <v>0</v>
      </c>
      <c r="AE70" s="132">
        <f t="shared" si="6"/>
        <v>475000</v>
      </c>
      <c r="AF70" s="150">
        <f t="shared" si="7"/>
        <v>0</v>
      </c>
    </row>
    <row r="71" spans="1:32" x14ac:dyDescent="0.25">
      <c r="A71" s="315" t="s">
        <v>1694</v>
      </c>
      <c r="B71" s="315" t="s">
        <v>1676</v>
      </c>
      <c r="C71" s="169" t="str">
        <f t="shared" si="1"/>
        <v>A</v>
      </c>
      <c r="D71" s="146" t="str">
        <f t="shared" si="2"/>
        <v>4</v>
      </c>
      <c r="E71" s="147" t="s">
        <v>13</v>
      </c>
      <c r="F71" s="147"/>
      <c r="G71" s="147"/>
      <c r="H71" s="148" t="s">
        <v>279</v>
      </c>
      <c r="I71" s="316">
        <v>645000</v>
      </c>
      <c r="J71" s="170">
        <f t="shared" si="3"/>
        <v>0</v>
      </c>
      <c r="K71" s="168">
        <f t="shared" si="4"/>
        <v>645000</v>
      </c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32">
        <f t="shared" ref="AD71:AD134" si="8">SUM(L71:AC71)</f>
        <v>0</v>
      </c>
      <c r="AE71" s="132">
        <f t="shared" si="6"/>
        <v>645000</v>
      </c>
      <c r="AF71" s="150">
        <f t="shared" si="7"/>
        <v>0</v>
      </c>
    </row>
    <row r="72" spans="1:32" x14ac:dyDescent="0.25">
      <c r="A72" s="315" t="s">
        <v>1507</v>
      </c>
      <c r="B72" s="315" t="s">
        <v>502</v>
      </c>
      <c r="C72" s="169" t="str">
        <f t="shared" ref="C72:C135" si="9">CONCATENATE(MID(A72,1,1))</f>
        <v>A</v>
      </c>
      <c r="D72" s="146" t="str">
        <f t="shared" ref="D72:D135" si="10">CONCATENATE(MID(A72,8,1))</f>
        <v>4</v>
      </c>
      <c r="E72" s="147" t="s">
        <v>13</v>
      </c>
      <c r="F72" s="147"/>
      <c r="G72" s="147"/>
      <c r="H72" s="148" t="s">
        <v>279</v>
      </c>
      <c r="I72" s="316">
        <v>47000</v>
      </c>
      <c r="J72" s="170">
        <f t="shared" ref="J72:J135" si="11">IF(D72="8",I72,0)</f>
        <v>0</v>
      </c>
      <c r="K72" s="168">
        <f t="shared" ref="K72:K135" si="12">IF(E72&lt;&gt;"S",IF(D72&lt;&gt;"8",I72,"")," ")</f>
        <v>47000</v>
      </c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32">
        <f t="shared" si="8"/>
        <v>0</v>
      </c>
      <c r="AE72" s="132">
        <f t="shared" ref="AE72:AE134" si="13">SUM(J72,K72,AD72)</f>
        <v>47000</v>
      </c>
      <c r="AF72" s="150">
        <f t="shared" ref="AF72:AF134" si="14">+I72-AE72</f>
        <v>0</v>
      </c>
    </row>
    <row r="73" spans="1:32" x14ac:dyDescent="0.25">
      <c r="A73" s="315" t="s">
        <v>1586</v>
      </c>
      <c r="B73" s="315" t="s">
        <v>662</v>
      </c>
      <c r="C73" s="169" t="str">
        <f t="shared" si="9"/>
        <v>A</v>
      </c>
      <c r="D73" s="146" t="str">
        <f t="shared" si="10"/>
        <v>4</v>
      </c>
      <c r="E73" s="147" t="s">
        <v>13</v>
      </c>
      <c r="F73" s="147"/>
      <c r="G73" s="147"/>
      <c r="H73" s="148" t="s">
        <v>279</v>
      </c>
      <c r="I73" s="316">
        <v>9200</v>
      </c>
      <c r="J73" s="170">
        <f t="shared" si="11"/>
        <v>0</v>
      </c>
      <c r="K73" s="168">
        <f t="shared" si="12"/>
        <v>9200</v>
      </c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32">
        <f t="shared" si="8"/>
        <v>0</v>
      </c>
      <c r="AE73" s="132">
        <f t="shared" si="13"/>
        <v>9200</v>
      </c>
      <c r="AF73" s="150">
        <f t="shared" si="14"/>
        <v>0</v>
      </c>
    </row>
    <row r="74" spans="1:32" x14ac:dyDescent="0.25">
      <c r="A74" s="315" t="s">
        <v>856</v>
      </c>
      <c r="B74" s="315" t="s">
        <v>1271</v>
      </c>
      <c r="C74" s="169" t="str">
        <f t="shared" si="9"/>
        <v>A</v>
      </c>
      <c r="D74" s="146" t="str">
        <f t="shared" si="10"/>
        <v>4</v>
      </c>
      <c r="E74" s="147" t="s">
        <v>13</v>
      </c>
      <c r="F74" s="147"/>
      <c r="G74" s="147"/>
      <c r="H74" s="148" t="s">
        <v>279</v>
      </c>
      <c r="I74" s="316">
        <v>17000</v>
      </c>
      <c r="J74" s="170">
        <f t="shared" si="11"/>
        <v>0</v>
      </c>
      <c r="K74" s="168">
        <f t="shared" si="12"/>
        <v>17000</v>
      </c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32">
        <f t="shared" si="8"/>
        <v>0</v>
      </c>
      <c r="AE74" s="132">
        <f t="shared" si="13"/>
        <v>17000</v>
      </c>
      <c r="AF74" s="150">
        <f t="shared" si="14"/>
        <v>0</v>
      </c>
    </row>
    <row r="75" spans="1:32" x14ac:dyDescent="0.25">
      <c r="A75" s="315" t="s">
        <v>1607</v>
      </c>
      <c r="B75" s="315" t="s">
        <v>962</v>
      </c>
      <c r="C75" s="169" t="str">
        <f t="shared" si="9"/>
        <v>A</v>
      </c>
      <c r="D75" s="146" t="str">
        <f t="shared" si="10"/>
        <v>4</v>
      </c>
      <c r="E75" s="147" t="s">
        <v>13</v>
      </c>
      <c r="F75" s="147"/>
      <c r="G75" s="147"/>
      <c r="H75" s="148" t="s">
        <v>279</v>
      </c>
      <c r="I75" s="316">
        <v>0</v>
      </c>
      <c r="J75" s="170">
        <f t="shared" si="11"/>
        <v>0</v>
      </c>
      <c r="K75" s="168">
        <f t="shared" si="12"/>
        <v>0</v>
      </c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32">
        <f t="shared" si="8"/>
        <v>0</v>
      </c>
      <c r="AE75" s="132">
        <f t="shared" si="13"/>
        <v>0</v>
      </c>
      <c r="AF75" s="150">
        <f t="shared" si="14"/>
        <v>0</v>
      </c>
    </row>
    <row r="76" spans="1:32" x14ac:dyDescent="0.25">
      <c r="A76" s="315" t="s">
        <v>1206</v>
      </c>
      <c r="B76" s="315" t="s">
        <v>905</v>
      </c>
      <c r="C76" s="169" t="str">
        <f t="shared" si="9"/>
        <v>A</v>
      </c>
      <c r="D76" s="146" t="str">
        <f t="shared" si="10"/>
        <v>4</v>
      </c>
      <c r="E76" s="147" t="s">
        <v>13</v>
      </c>
      <c r="F76" s="147"/>
      <c r="G76" s="147"/>
      <c r="H76" s="148" t="s">
        <v>279</v>
      </c>
      <c r="I76" s="316">
        <v>11000</v>
      </c>
      <c r="J76" s="170">
        <f t="shared" si="11"/>
        <v>0</v>
      </c>
      <c r="K76" s="168">
        <f t="shared" si="12"/>
        <v>11000</v>
      </c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32">
        <f t="shared" si="8"/>
        <v>0</v>
      </c>
      <c r="AE76" s="132">
        <f t="shared" si="13"/>
        <v>11000</v>
      </c>
      <c r="AF76" s="150">
        <f t="shared" si="14"/>
        <v>0</v>
      </c>
    </row>
    <row r="77" spans="1:32" x14ac:dyDescent="0.25">
      <c r="A77" s="315" t="s">
        <v>1292</v>
      </c>
      <c r="B77" s="315" t="s">
        <v>1044</v>
      </c>
      <c r="C77" s="169" t="str">
        <f t="shared" si="9"/>
        <v>A</v>
      </c>
      <c r="D77" s="146" t="str">
        <f t="shared" si="10"/>
        <v>4</v>
      </c>
      <c r="E77" s="147" t="s">
        <v>13</v>
      </c>
      <c r="F77" s="147"/>
      <c r="G77" s="147"/>
      <c r="H77" s="148" t="s">
        <v>279</v>
      </c>
      <c r="I77" s="316">
        <v>31200</v>
      </c>
      <c r="J77" s="170">
        <f t="shared" si="11"/>
        <v>0</v>
      </c>
      <c r="K77" s="168">
        <f t="shared" si="12"/>
        <v>31200</v>
      </c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32">
        <f t="shared" si="8"/>
        <v>0</v>
      </c>
      <c r="AE77" s="132">
        <f t="shared" si="13"/>
        <v>31200</v>
      </c>
      <c r="AF77" s="150">
        <f t="shared" si="14"/>
        <v>0</v>
      </c>
    </row>
    <row r="78" spans="1:32" x14ac:dyDescent="0.25">
      <c r="A78" s="315" t="s">
        <v>566</v>
      </c>
      <c r="B78" s="315" t="s">
        <v>1223</v>
      </c>
      <c r="C78" s="169" t="str">
        <f t="shared" si="9"/>
        <v>A</v>
      </c>
      <c r="D78" s="146" t="str">
        <f t="shared" si="10"/>
        <v>4</v>
      </c>
      <c r="E78" s="147" t="s">
        <v>13</v>
      </c>
      <c r="F78" s="147"/>
      <c r="G78" s="147"/>
      <c r="H78" s="148" t="s">
        <v>279</v>
      </c>
      <c r="I78" s="316">
        <v>6500</v>
      </c>
      <c r="J78" s="170">
        <f t="shared" si="11"/>
        <v>0</v>
      </c>
      <c r="K78" s="168">
        <f t="shared" si="12"/>
        <v>6500</v>
      </c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32">
        <f t="shared" si="8"/>
        <v>0</v>
      </c>
      <c r="AE78" s="132">
        <f t="shared" si="13"/>
        <v>6500</v>
      </c>
      <c r="AF78" s="150">
        <f t="shared" si="14"/>
        <v>0</v>
      </c>
    </row>
    <row r="79" spans="1:32" x14ac:dyDescent="0.25">
      <c r="A79" s="315" t="s">
        <v>1686</v>
      </c>
      <c r="B79" s="315" t="s">
        <v>1085</v>
      </c>
      <c r="C79" s="169" t="str">
        <f t="shared" si="9"/>
        <v>A</v>
      </c>
      <c r="D79" s="146" t="str">
        <f t="shared" si="10"/>
        <v>4</v>
      </c>
      <c r="E79" s="147" t="s">
        <v>13</v>
      </c>
      <c r="F79" s="147"/>
      <c r="G79" s="147"/>
      <c r="H79" s="148" t="s">
        <v>279</v>
      </c>
      <c r="I79" s="316">
        <v>55200</v>
      </c>
      <c r="J79" s="170">
        <f t="shared" si="11"/>
        <v>0</v>
      </c>
      <c r="K79" s="168">
        <f t="shared" si="12"/>
        <v>55200</v>
      </c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32">
        <f t="shared" si="8"/>
        <v>0</v>
      </c>
      <c r="AE79" s="132">
        <f t="shared" si="13"/>
        <v>55200</v>
      </c>
      <c r="AF79" s="150">
        <f t="shared" si="14"/>
        <v>0</v>
      </c>
    </row>
    <row r="80" spans="1:32" x14ac:dyDescent="0.25">
      <c r="A80" s="315" t="s">
        <v>1109</v>
      </c>
      <c r="B80" s="315" t="s">
        <v>1397</v>
      </c>
      <c r="C80" s="169" t="str">
        <f t="shared" si="9"/>
        <v>A</v>
      </c>
      <c r="D80" s="146" t="str">
        <f t="shared" si="10"/>
        <v>4</v>
      </c>
      <c r="E80" s="147" t="s">
        <v>13</v>
      </c>
      <c r="F80" s="147"/>
      <c r="G80" s="147"/>
      <c r="H80" s="148" t="s">
        <v>279</v>
      </c>
      <c r="I80" s="316">
        <v>26000</v>
      </c>
      <c r="J80" s="170">
        <f t="shared" si="11"/>
        <v>0</v>
      </c>
      <c r="K80" s="168">
        <f t="shared" si="12"/>
        <v>26000</v>
      </c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32">
        <f t="shared" si="8"/>
        <v>0</v>
      </c>
      <c r="AE80" s="132">
        <f t="shared" si="13"/>
        <v>26000</v>
      </c>
      <c r="AF80" s="150">
        <f t="shared" si="14"/>
        <v>0</v>
      </c>
    </row>
    <row r="81" spans="1:32" x14ac:dyDescent="0.25">
      <c r="A81" s="315" t="s">
        <v>1352</v>
      </c>
      <c r="B81" s="315" t="s">
        <v>815</v>
      </c>
      <c r="C81" s="169" t="str">
        <f t="shared" si="9"/>
        <v>A</v>
      </c>
      <c r="D81" s="146" t="str">
        <f t="shared" si="10"/>
        <v>4</v>
      </c>
      <c r="E81" s="147" t="s">
        <v>13</v>
      </c>
      <c r="F81" s="147"/>
      <c r="G81" s="147"/>
      <c r="H81" s="148" t="s">
        <v>279</v>
      </c>
      <c r="I81" s="316">
        <v>248902</v>
      </c>
      <c r="J81" s="170">
        <f t="shared" si="11"/>
        <v>0</v>
      </c>
      <c r="K81" s="168">
        <f t="shared" si="12"/>
        <v>248902</v>
      </c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32">
        <f t="shared" si="8"/>
        <v>0</v>
      </c>
      <c r="AE81" s="132">
        <f t="shared" si="13"/>
        <v>248902</v>
      </c>
      <c r="AF81" s="150">
        <f t="shared" si="14"/>
        <v>0</v>
      </c>
    </row>
    <row r="82" spans="1:32" x14ac:dyDescent="0.25">
      <c r="A82" s="315" t="s">
        <v>1636</v>
      </c>
      <c r="B82" s="315" t="s">
        <v>1288</v>
      </c>
      <c r="C82" s="169" t="str">
        <f t="shared" si="9"/>
        <v>A</v>
      </c>
      <c r="D82" s="146" t="str">
        <f t="shared" si="10"/>
        <v>1</v>
      </c>
      <c r="E82" s="147" t="s">
        <v>13</v>
      </c>
      <c r="F82" s="147"/>
      <c r="G82" s="147"/>
      <c r="H82" s="148" t="s">
        <v>279</v>
      </c>
      <c r="I82" s="316">
        <v>415405</v>
      </c>
      <c r="J82" s="170">
        <f t="shared" si="11"/>
        <v>0</v>
      </c>
      <c r="K82" s="168">
        <f t="shared" si="12"/>
        <v>415405</v>
      </c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32">
        <f t="shared" si="8"/>
        <v>0</v>
      </c>
      <c r="AE82" s="132">
        <f t="shared" si="13"/>
        <v>415405</v>
      </c>
      <c r="AF82" s="150">
        <f t="shared" si="14"/>
        <v>0</v>
      </c>
    </row>
    <row r="83" spans="1:32" x14ac:dyDescent="0.25">
      <c r="A83" s="315" t="s">
        <v>995</v>
      </c>
      <c r="B83" s="315" t="s">
        <v>1616</v>
      </c>
      <c r="C83" s="169" t="str">
        <f t="shared" si="9"/>
        <v>A</v>
      </c>
      <c r="D83" s="146" t="str">
        <f t="shared" si="10"/>
        <v>1</v>
      </c>
      <c r="E83" s="147" t="s">
        <v>13</v>
      </c>
      <c r="F83" s="147"/>
      <c r="G83" s="147"/>
      <c r="H83" s="148" t="s">
        <v>279</v>
      </c>
      <c r="I83" s="316">
        <v>25000</v>
      </c>
      <c r="J83" s="170">
        <f t="shared" si="11"/>
        <v>0</v>
      </c>
      <c r="K83" s="168">
        <f t="shared" si="12"/>
        <v>25000</v>
      </c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32">
        <f t="shared" si="8"/>
        <v>0</v>
      </c>
      <c r="AE83" s="132">
        <f t="shared" si="13"/>
        <v>25000</v>
      </c>
      <c r="AF83" s="150">
        <f t="shared" si="14"/>
        <v>0</v>
      </c>
    </row>
    <row r="84" spans="1:32" x14ac:dyDescent="0.25">
      <c r="A84" s="315" t="s">
        <v>1542</v>
      </c>
      <c r="B84" s="315" t="s">
        <v>551</v>
      </c>
      <c r="C84" s="169" t="str">
        <f t="shared" si="9"/>
        <v>A</v>
      </c>
      <c r="D84" s="146" t="str">
        <f t="shared" si="10"/>
        <v>1</v>
      </c>
      <c r="E84" s="147" t="s">
        <v>13</v>
      </c>
      <c r="F84" s="147"/>
      <c r="G84" s="147"/>
      <c r="H84" s="148" t="s">
        <v>279</v>
      </c>
      <c r="I84" s="316">
        <v>25000</v>
      </c>
      <c r="J84" s="170">
        <f t="shared" si="11"/>
        <v>0</v>
      </c>
      <c r="K84" s="168">
        <f t="shared" si="12"/>
        <v>25000</v>
      </c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32">
        <f t="shared" si="8"/>
        <v>0</v>
      </c>
      <c r="AE84" s="132">
        <f t="shared" si="13"/>
        <v>25000</v>
      </c>
      <c r="AF84" s="150">
        <f t="shared" si="14"/>
        <v>0</v>
      </c>
    </row>
    <row r="85" spans="1:32" x14ac:dyDescent="0.25">
      <c r="A85" s="315" t="s">
        <v>1284</v>
      </c>
      <c r="B85" s="315" t="s">
        <v>804</v>
      </c>
      <c r="C85" s="169" t="str">
        <f t="shared" si="9"/>
        <v>A</v>
      </c>
      <c r="D85" s="146" t="str">
        <f t="shared" si="10"/>
        <v>2</v>
      </c>
      <c r="E85" s="147" t="s">
        <v>13</v>
      </c>
      <c r="F85" s="147"/>
      <c r="G85" s="147"/>
      <c r="H85" s="148" t="s">
        <v>279</v>
      </c>
      <c r="I85" s="316">
        <v>68800</v>
      </c>
      <c r="J85" s="170">
        <f t="shared" si="11"/>
        <v>0</v>
      </c>
      <c r="K85" s="168">
        <f t="shared" si="12"/>
        <v>68800</v>
      </c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32">
        <f t="shared" si="8"/>
        <v>0</v>
      </c>
      <c r="AE85" s="132">
        <f t="shared" si="13"/>
        <v>68800</v>
      </c>
      <c r="AF85" s="150">
        <f t="shared" si="14"/>
        <v>0</v>
      </c>
    </row>
    <row r="86" spans="1:32" x14ac:dyDescent="0.25">
      <c r="A86" s="315" t="s">
        <v>713</v>
      </c>
      <c r="B86" s="315" t="s">
        <v>1102</v>
      </c>
      <c r="C86" s="169" t="str">
        <f t="shared" si="9"/>
        <v>A</v>
      </c>
      <c r="D86" s="146" t="str">
        <f t="shared" si="10"/>
        <v>2</v>
      </c>
      <c r="E86" s="147" t="s">
        <v>13</v>
      </c>
      <c r="F86" s="147"/>
      <c r="G86" s="147"/>
      <c r="H86" s="148" t="s">
        <v>279</v>
      </c>
      <c r="I86" s="316">
        <v>40000</v>
      </c>
      <c r="J86" s="170">
        <f t="shared" si="11"/>
        <v>0</v>
      </c>
      <c r="K86" s="168">
        <f t="shared" si="12"/>
        <v>40000</v>
      </c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32">
        <f t="shared" si="8"/>
        <v>0</v>
      </c>
      <c r="AE86" s="132">
        <f t="shared" si="13"/>
        <v>40000</v>
      </c>
      <c r="AF86" s="150">
        <f t="shared" si="14"/>
        <v>0</v>
      </c>
    </row>
    <row r="87" spans="1:32" x14ac:dyDescent="0.25">
      <c r="A87" s="315" t="s">
        <v>702</v>
      </c>
      <c r="B87" s="315" t="s">
        <v>1466</v>
      </c>
      <c r="C87" s="169" t="str">
        <f t="shared" si="9"/>
        <v>A</v>
      </c>
      <c r="D87" s="146" t="str">
        <f t="shared" si="10"/>
        <v>4</v>
      </c>
      <c r="E87" s="147" t="s">
        <v>13</v>
      </c>
      <c r="F87" s="147"/>
      <c r="G87" s="147"/>
      <c r="H87" s="148" t="s">
        <v>279</v>
      </c>
      <c r="I87" s="316">
        <v>10400</v>
      </c>
      <c r="J87" s="170">
        <f t="shared" si="11"/>
        <v>0</v>
      </c>
      <c r="K87" s="168">
        <f t="shared" si="12"/>
        <v>10400</v>
      </c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32">
        <f t="shared" si="8"/>
        <v>0</v>
      </c>
      <c r="AE87" s="132">
        <f t="shared" si="13"/>
        <v>10400</v>
      </c>
      <c r="AF87" s="150">
        <f t="shared" si="14"/>
        <v>0</v>
      </c>
    </row>
    <row r="88" spans="1:32" x14ac:dyDescent="0.25">
      <c r="A88" s="315" t="s">
        <v>852</v>
      </c>
      <c r="B88" s="315" t="s">
        <v>1070</v>
      </c>
      <c r="C88" s="169" t="str">
        <f t="shared" si="9"/>
        <v>A</v>
      </c>
      <c r="D88" s="146" t="str">
        <f t="shared" si="10"/>
        <v>4</v>
      </c>
      <c r="E88" s="147" t="s">
        <v>13</v>
      </c>
      <c r="F88" s="147"/>
      <c r="G88" s="147"/>
      <c r="H88" s="148" t="s">
        <v>279</v>
      </c>
      <c r="I88" s="316">
        <v>28800</v>
      </c>
      <c r="J88" s="170">
        <f t="shared" si="11"/>
        <v>0</v>
      </c>
      <c r="K88" s="168">
        <f t="shared" si="12"/>
        <v>28800</v>
      </c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32">
        <f t="shared" si="8"/>
        <v>0</v>
      </c>
      <c r="AE88" s="132">
        <f t="shared" si="13"/>
        <v>28800</v>
      </c>
      <c r="AF88" s="150">
        <f t="shared" si="14"/>
        <v>0</v>
      </c>
    </row>
    <row r="89" spans="1:32" x14ac:dyDescent="0.25">
      <c r="A89" s="315" t="s">
        <v>832</v>
      </c>
      <c r="B89" s="315" t="s">
        <v>784</v>
      </c>
      <c r="C89" s="169" t="str">
        <f t="shared" si="9"/>
        <v>A</v>
      </c>
      <c r="D89" s="146" t="str">
        <f t="shared" si="10"/>
        <v>4</v>
      </c>
      <c r="E89" s="147" t="s">
        <v>13</v>
      </c>
      <c r="F89" s="147"/>
      <c r="G89" s="147"/>
      <c r="H89" s="148" t="s">
        <v>279</v>
      </c>
      <c r="I89" s="316">
        <v>28800</v>
      </c>
      <c r="J89" s="170">
        <f t="shared" si="11"/>
        <v>0</v>
      </c>
      <c r="K89" s="168">
        <f t="shared" si="12"/>
        <v>28800</v>
      </c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32">
        <f t="shared" si="8"/>
        <v>0</v>
      </c>
      <c r="AE89" s="132">
        <f t="shared" si="13"/>
        <v>28800</v>
      </c>
      <c r="AF89" s="150">
        <f t="shared" si="14"/>
        <v>0</v>
      </c>
    </row>
    <row r="90" spans="1:32" x14ac:dyDescent="0.25">
      <c r="A90" s="315" t="s">
        <v>546</v>
      </c>
      <c r="B90" s="315" t="s">
        <v>1736</v>
      </c>
      <c r="C90" s="169" t="str">
        <f t="shared" si="9"/>
        <v>A</v>
      </c>
      <c r="D90" s="146" t="str">
        <f t="shared" si="10"/>
        <v>4</v>
      </c>
      <c r="E90" s="147" t="s">
        <v>13</v>
      </c>
      <c r="F90" s="147"/>
      <c r="G90" s="147"/>
      <c r="H90" s="148" t="s">
        <v>279</v>
      </c>
      <c r="I90" s="316">
        <v>26400</v>
      </c>
      <c r="J90" s="170">
        <f t="shared" si="11"/>
        <v>0</v>
      </c>
      <c r="K90" s="168">
        <f t="shared" si="12"/>
        <v>26400</v>
      </c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32">
        <f t="shared" si="8"/>
        <v>0</v>
      </c>
      <c r="AE90" s="132">
        <f t="shared" si="13"/>
        <v>26400</v>
      </c>
      <c r="AF90" s="150">
        <f t="shared" si="14"/>
        <v>0</v>
      </c>
    </row>
    <row r="91" spans="1:32" x14ac:dyDescent="0.25">
      <c r="A91" s="315" t="s">
        <v>540</v>
      </c>
      <c r="B91" s="315" t="s">
        <v>1603</v>
      </c>
      <c r="C91" s="169" t="str">
        <f t="shared" si="9"/>
        <v>A</v>
      </c>
      <c r="D91" s="146" t="str">
        <f t="shared" si="10"/>
        <v>4</v>
      </c>
      <c r="E91" s="147" t="s">
        <v>13</v>
      </c>
      <c r="F91" s="147"/>
      <c r="G91" s="147"/>
      <c r="H91" s="148" t="s">
        <v>279</v>
      </c>
      <c r="I91" s="316">
        <v>22400</v>
      </c>
      <c r="J91" s="170">
        <f t="shared" si="11"/>
        <v>0</v>
      </c>
      <c r="K91" s="168">
        <f t="shared" si="12"/>
        <v>22400</v>
      </c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32">
        <f t="shared" si="8"/>
        <v>0</v>
      </c>
      <c r="AE91" s="132">
        <f t="shared" si="13"/>
        <v>22400</v>
      </c>
      <c r="AF91" s="150">
        <f t="shared" si="14"/>
        <v>0</v>
      </c>
    </row>
    <row r="92" spans="1:32" x14ac:dyDescent="0.25">
      <c r="A92" s="315" t="s">
        <v>1157</v>
      </c>
      <c r="B92" s="315" t="s">
        <v>874</v>
      </c>
      <c r="C92" s="169" t="str">
        <f t="shared" si="9"/>
        <v>A</v>
      </c>
      <c r="D92" s="146" t="str">
        <f t="shared" si="10"/>
        <v>4</v>
      </c>
      <c r="E92" s="147" t="s">
        <v>13</v>
      </c>
      <c r="F92" s="147"/>
      <c r="G92" s="147"/>
      <c r="H92" s="148" t="s">
        <v>279</v>
      </c>
      <c r="I92" s="316">
        <v>28800</v>
      </c>
      <c r="J92" s="170">
        <f t="shared" si="11"/>
        <v>0</v>
      </c>
      <c r="K92" s="168">
        <f t="shared" si="12"/>
        <v>28800</v>
      </c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32">
        <f t="shared" si="8"/>
        <v>0</v>
      </c>
      <c r="AE92" s="132">
        <f t="shared" si="13"/>
        <v>28800</v>
      </c>
      <c r="AF92" s="150">
        <f t="shared" si="14"/>
        <v>0</v>
      </c>
    </row>
    <row r="93" spans="1:32" x14ac:dyDescent="0.25">
      <c r="A93" s="315" t="s">
        <v>1564</v>
      </c>
      <c r="B93" s="315" t="s">
        <v>850</v>
      </c>
      <c r="C93" s="169" t="str">
        <f t="shared" si="9"/>
        <v>A</v>
      </c>
      <c r="D93" s="146" t="str">
        <f t="shared" si="10"/>
        <v>4</v>
      </c>
      <c r="E93" s="147" t="s">
        <v>13</v>
      </c>
      <c r="F93" s="147"/>
      <c r="G93" s="147"/>
      <c r="H93" s="148" t="s">
        <v>279</v>
      </c>
      <c r="I93" s="316">
        <v>0</v>
      </c>
      <c r="J93" s="170">
        <f t="shared" si="11"/>
        <v>0</v>
      </c>
      <c r="K93" s="168">
        <f t="shared" si="12"/>
        <v>0</v>
      </c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32">
        <f t="shared" si="8"/>
        <v>0</v>
      </c>
      <c r="AE93" s="132">
        <f t="shared" si="13"/>
        <v>0</v>
      </c>
      <c r="AF93" s="150">
        <f t="shared" si="14"/>
        <v>0</v>
      </c>
    </row>
    <row r="94" spans="1:32" x14ac:dyDescent="0.25">
      <c r="A94" s="315" t="s">
        <v>1354</v>
      </c>
      <c r="B94" s="315" t="s">
        <v>1711</v>
      </c>
      <c r="C94" s="169" t="str">
        <f t="shared" si="9"/>
        <v>A</v>
      </c>
      <c r="D94" s="146" t="str">
        <f t="shared" si="10"/>
        <v>1</v>
      </c>
      <c r="E94" s="147" t="s">
        <v>13</v>
      </c>
      <c r="F94" s="147"/>
      <c r="G94" s="147"/>
      <c r="H94" s="148" t="s">
        <v>279</v>
      </c>
      <c r="I94" s="316">
        <v>50000</v>
      </c>
      <c r="J94" s="170">
        <f t="shared" si="11"/>
        <v>0</v>
      </c>
      <c r="K94" s="168">
        <f t="shared" si="12"/>
        <v>50000</v>
      </c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32">
        <f t="shared" si="8"/>
        <v>0</v>
      </c>
      <c r="AE94" s="132">
        <f t="shared" si="13"/>
        <v>50000</v>
      </c>
      <c r="AF94" s="150">
        <f t="shared" si="14"/>
        <v>0</v>
      </c>
    </row>
    <row r="95" spans="1:32" x14ac:dyDescent="0.25">
      <c r="A95" s="315" t="s">
        <v>1753</v>
      </c>
      <c r="B95" s="315" t="s">
        <v>504</v>
      </c>
      <c r="C95" s="169" t="str">
        <f t="shared" si="9"/>
        <v>A</v>
      </c>
      <c r="D95" s="146" t="str">
        <f t="shared" si="10"/>
        <v>4</v>
      </c>
      <c r="E95" s="147" t="s">
        <v>13</v>
      </c>
      <c r="F95" s="147"/>
      <c r="G95" s="147"/>
      <c r="H95" s="148" t="s">
        <v>279</v>
      </c>
      <c r="I95" s="316">
        <v>6400</v>
      </c>
      <c r="J95" s="170">
        <f t="shared" si="11"/>
        <v>0</v>
      </c>
      <c r="K95" s="168">
        <f t="shared" si="12"/>
        <v>6400</v>
      </c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32">
        <f t="shared" si="8"/>
        <v>0</v>
      </c>
      <c r="AE95" s="132">
        <f t="shared" si="13"/>
        <v>6400</v>
      </c>
      <c r="AF95" s="150">
        <f t="shared" si="14"/>
        <v>0</v>
      </c>
    </row>
    <row r="96" spans="1:32" x14ac:dyDescent="0.25">
      <c r="A96" s="315" t="s">
        <v>1094</v>
      </c>
      <c r="B96" s="315" t="s">
        <v>1703</v>
      </c>
      <c r="C96" s="169" t="str">
        <f t="shared" si="9"/>
        <v>A</v>
      </c>
      <c r="D96" s="146" t="str">
        <f t="shared" si="10"/>
        <v>4</v>
      </c>
      <c r="E96" s="147" t="s">
        <v>13</v>
      </c>
      <c r="F96" s="147"/>
      <c r="G96" s="147"/>
      <c r="H96" s="148" t="s">
        <v>279</v>
      </c>
      <c r="I96" s="316">
        <v>4000</v>
      </c>
      <c r="J96" s="170">
        <f t="shared" si="11"/>
        <v>0</v>
      </c>
      <c r="K96" s="168">
        <f t="shared" si="12"/>
        <v>4000</v>
      </c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32">
        <f t="shared" si="8"/>
        <v>0</v>
      </c>
      <c r="AE96" s="132">
        <f t="shared" si="13"/>
        <v>4000</v>
      </c>
      <c r="AF96" s="150">
        <f t="shared" si="14"/>
        <v>0</v>
      </c>
    </row>
    <row r="97" spans="1:32" x14ac:dyDescent="0.25">
      <c r="A97" s="315" t="s">
        <v>585</v>
      </c>
      <c r="B97" s="315" t="s">
        <v>1697</v>
      </c>
      <c r="C97" s="169" t="str">
        <f t="shared" si="9"/>
        <v>A</v>
      </c>
      <c r="D97" s="146" t="str">
        <f t="shared" si="10"/>
        <v>4</v>
      </c>
      <c r="E97" s="147" t="s">
        <v>13</v>
      </c>
      <c r="F97" s="147"/>
      <c r="G97" s="147"/>
      <c r="H97" s="148" t="s">
        <v>279</v>
      </c>
      <c r="I97" s="316">
        <v>3600</v>
      </c>
      <c r="J97" s="170">
        <f t="shared" si="11"/>
        <v>0</v>
      </c>
      <c r="K97" s="168">
        <f t="shared" si="12"/>
        <v>3600</v>
      </c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32">
        <f t="shared" si="8"/>
        <v>0</v>
      </c>
      <c r="AE97" s="132">
        <f t="shared" si="13"/>
        <v>3600</v>
      </c>
      <c r="AF97" s="150">
        <f t="shared" si="14"/>
        <v>0</v>
      </c>
    </row>
    <row r="98" spans="1:32" x14ac:dyDescent="0.25">
      <c r="A98" s="315" t="s">
        <v>865</v>
      </c>
      <c r="B98" s="315" t="s">
        <v>1526</v>
      </c>
      <c r="C98" s="169" t="str">
        <f t="shared" si="9"/>
        <v>A</v>
      </c>
      <c r="D98" s="146" t="str">
        <f t="shared" si="10"/>
        <v>4</v>
      </c>
      <c r="E98" s="147" t="s">
        <v>13</v>
      </c>
      <c r="F98" s="147"/>
      <c r="G98" s="147"/>
      <c r="H98" s="148" t="s">
        <v>279</v>
      </c>
      <c r="I98" s="316">
        <v>3600</v>
      </c>
      <c r="J98" s="170">
        <f t="shared" si="11"/>
        <v>0</v>
      </c>
      <c r="K98" s="168">
        <f t="shared" si="12"/>
        <v>3600</v>
      </c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32">
        <f t="shared" si="8"/>
        <v>0</v>
      </c>
      <c r="AE98" s="132">
        <f t="shared" si="13"/>
        <v>3600</v>
      </c>
      <c r="AF98" s="150">
        <f t="shared" si="14"/>
        <v>0</v>
      </c>
    </row>
    <row r="99" spans="1:32" x14ac:dyDescent="0.25">
      <c r="A99" s="315" t="s">
        <v>1017</v>
      </c>
      <c r="B99" s="315" t="s">
        <v>1140</v>
      </c>
      <c r="C99" s="169" t="str">
        <f t="shared" si="9"/>
        <v>A</v>
      </c>
      <c r="D99" s="146" t="str">
        <f t="shared" si="10"/>
        <v>4</v>
      </c>
      <c r="E99" s="147" t="s">
        <v>13</v>
      </c>
      <c r="F99" s="147"/>
      <c r="G99" s="147"/>
      <c r="H99" s="148" t="s">
        <v>279</v>
      </c>
      <c r="I99" s="316">
        <v>3600</v>
      </c>
      <c r="J99" s="170">
        <f t="shared" si="11"/>
        <v>0</v>
      </c>
      <c r="K99" s="168">
        <f t="shared" si="12"/>
        <v>3600</v>
      </c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32">
        <f t="shared" si="8"/>
        <v>0</v>
      </c>
      <c r="AE99" s="132">
        <f t="shared" si="13"/>
        <v>3600</v>
      </c>
      <c r="AF99" s="150">
        <f t="shared" si="14"/>
        <v>0</v>
      </c>
    </row>
    <row r="100" spans="1:32" x14ac:dyDescent="0.25">
      <c r="A100" s="315" t="s">
        <v>1428</v>
      </c>
      <c r="B100" s="315" t="s">
        <v>1595</v>
      </c>
      <c r="C100" s="169" t="str">
        <f t="shared" si="9"/>
        <v>A</v>
      </c>
      <c r="D100" s="146" t="str">
        <f t="shared" si="10"/>
        <v>4</v>
      </c>
      <c r="E100" s="147" t="s">
        <v>13</v>
      </c>
      <c r="F100" s="147"/>
      <c r="G100" s="147"/>
      <c r="H100" s="148" t="s">
        <v>279</v>
      </c>
      <c r="I100" s="316">
        <v>28800</v>
      </c>
      <c r="J100" s="170">
        <f t="shared" si="11"/>
        <v>0</v>
      </c>
      <c r="K100" s="168">
        <f t="shared" si="12"/>
        <v>28800</v>
      </c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32">
        <f t="shared" si="8"/>
        <v>0</v>
      </c>
      <c r="AE100" s="132">
        <f t="shared" si="13"/>
        <v>28800</v>
      </c>
      <c r="AF100" s="150">
        <f t="shared" si="14"/>
        <v>0</v>
      </c>
    </row>
    <row r="101" spans="1:32" x14ac:dyDescent="0.25">
      <c r="A101" s="315" t="s">
        <v>1074</v>
      </c>
      <c r="B101" s="315" t="s">
        <v>1322</v>
      </c>
      <c r="C101" s="169" t="str">
        <f t="shared" si="9"/>
        <v>A</v>
      </c>
      <c r="D101" s="146" t="str">
        <f t="shared" si="10"/>
        <v>4</v>
      </c>
      <c r="E101" s="147" t="s">
        <v>13</v>
      </c>
      <c r="F101" s="147"/>
      <c r="G101" s="147"/>
      <c r="H101" s="148" t="s">
        <v>279</v>
      </c>
      <c r="I101" s="316">
        <v>1200</v>
      </c>
      <c r="J101" s="170">
        <f t="shared" si="11"/>
        <v>0</v>
      </c>
      <c r="K101" s="168">
        <f t="shared" si="12"/>
        <v>1200</v>
      </c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32">
        <f t="shared" si="8"/>
        <v>0</v>
      </c>
      <c r="AE101" s="132">
        <f t="shared" si="13"/>
        <v>1200</v>
      </c>
      <c r="AF101" s="150">
        <f t="shared" si="14"/>
        <v>0</v>
      </c>
    </row>
    <row r="102" spans="1:32" x14ac:dyDescent="0.25">
      <c r="A102" s="315" t="s">
        <v>1484</v>
      </c>
      <c r="B102" s="315" t="s">
        <v>1215</v>
      </c>
      <c r="C102" s="169" t="str">
        <f t="shared" si="9"/>
        <v>A</v>
      </c>
      <c r="D102" s="146" t="str">
        <f t="shared" si="10"/>
        <v>4</v>
      </c>
      <c r="E102" s="147" t="s">
        <v>13</v>
      </c>
      <c r="F102" s="147"/>
      <c r="G102" s="147"/>
      <c r="H102" s="148" t="s">
        <v>279</v>
      </c>
      <c r="I102" s="316">
        <v>640</v>
      </c>
      <c r="J102" s="170">
        <f t="shared" si="11"/>
        <v>0</v>
      </c>
      <c r="K102" s="168">
        <f t="shared" si="12"/>
        <v>640</v>
      </c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32">
        <f t="shared" si="8"/>
        <v>0</v>
      </c>
      <c r="AE102" s="132">
        <f t="shared" si="13"/>
        <v>640</v>
      </c>
      <c r="AF102" s="150">
        <f t="shared" si="14"/>
        <v>0</v>
      </c>
    </row>
    <row r="103" spans="1:32" x14ac:dyDescent="0.25">
      <c r="A103" s="315" t="s">
        <v>820</v>
      </c>
      <c r="B103" s="315" t="s">
        <v>1266</v>
      </c>
      <c r="C103" s="169" t="str">
        <f t="shared" si="9"/>
        <v>A</v>
      </c>
      <c r="D103" s="146" t="str">
        <f t="shared" si="10"/>
        <v>4</v>
      </c>
      <c r="E103" s="147" t="s">
        <v>13</v>
      </c>
      <c r="F103" s="147"/>
      <c r="G103" s="147"/>
      <c r="H103" s="148" t="s">
        <v>279</v>
      </c>
      <c r="I103" s="316">
        <v>400</v>
      </c>
      <c r="J103" s="170">
        <f t="shared" si="11"/>
        <v>0</v>
      </c>
      <c r="K103" s="168">
        <f t="shared" si="12"/>
        <v>400</v>
      </c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32">
        <f t="shared" si="8"/>
        <v>0</v>
      </c>
      <c r="AE103" s="132">
        <f t="shared" si="13"/>
        <v>400</v>
      </c>
      <c r="AF103" s="150">
        <f t="shared" si="14"/>
        <v>0</v>
      </c>
    </row>
    <row r="104" spans="1:32" x14ac:dyDescent="0.25">
      <c r="A104" s="315" t="s">
        <v>1560</v>
      </c>
      <c r="B104" s="315" t="s">
        <v>1243</v>
      </c>
      <c r="C104" s="169" t="str">
        <f t="shared" si="9"/>
        <v>A</v>
      </c>
      <c r="D104" s="146" t="str">
        <f t="shared" si="10"/>
        <v>4</v>
      </c>
      <c r="E104" s="147" t="s">
        <v>13</v>
      </c>
      <c r="F104" s="147"/>
      <c r="G104" s="147"/>
      <c r="H104" s="148" t="s">
        <v>279</v>
      </c>
      <c r="I104" s="316">
        <v>400</v>
      </c>
      <c r="J104" s="170">
        <f t="shared" si="11"/>
        <v>0</v>
      </c>
      <c r="K104" s="168">
        <f t="shared" si="12"/>
        <v>400</v>
      </c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32">
        <f t="shared" si="8"/>
        <v>0</v>
      </c>
      <c r="AE104" s="132">
        <f t="shared" si="13"/>
        <v>400</v>
      </c>
      <c r="AF104" s="150">
        <f t="shared" si="14"/>
        <v>0</v>
      </c>
    </row>
    <row r="105" spans="1:32" x14ac:dyDescent="0.25">
      <c r="A105" s="315" t="s">
        <v>1743</v>
      </c>
      <c r="B105" s="315" t="s">
        <v>706</v>
      </c>
      <c r="C105" s="169" t="str">
        <f t="shared" si="9"/>
        <v>A</v>
      </c>
      <c r="D105" s="146" t="str">
        <f t="shared" si="10"/>
        <v>4</v>
      </c>
      <c r="E105" s="147" t="s">
        <v>13</v>
      </c>
      <c r="F105" s="147"/>
      <c r="G105" s="147"/>
      <c r="H105" s="148" t="s">
        <v>279</v>
      </c>
      <c r="I105" s="316">
        <v>400</v>
      </c>
      <c r="J105" s="170">
        <f t="shared" si="11"/>
        <v>0</v>
      </c>
      <c r="K105" s="168">
        <f t="shared" si="12"/>
        <v>400</v>
      </c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32">
        <f t="shared" si="8"/>
        <v>0</v>
      </c>
      <c r="AE105" s="132">
        <f t="shared" si="13"/>
        <v>400</v>
      </c>
      <c r="AF105" s="150">
        <f t="shared" si="14"/>
        <v>0</v>
      </c>
    </row>
    <row r="106" spans="1:32" x14ac:dyDescent="0.25">
      <c r="A106" s="315" t="s">
        <v>1149</v>
      </c>
      <c r="B106" s="315" t="s">
        <v>1108</v>
      </c>
      <c r="C106" s="169" t="str">
        <f t="shared" si="9"/>
        <v>A</v>
      </c>
      <c r="D106" s="146" t="str">
        <f t="shared" si="10"/>
        <v>4</v>
      </c>
      <c r="E106" s="147" t="s">
        <v>13</v>
      </c>
      <c r="F106" s="147"/>
      <c r="G106" s="147"/>
      <c r="H106" s="148" t="s">
        <v>279</v>
      </c>
      <c r="I106" s="316">
        <v>8800</v>
      </c>
      <c r="J106" s="170">
        <f t="shared" si="11"/>
        <v>0</v>
      </c>
      <c r="K106" s="168">
        <f t="shared" si="12"/>
        <v>8800</v>
      </c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32">
        <f t="shared" si="8"/>
        <v>0</v>
      </c>
      <c r="AE106" s="132">
        <f t="shared" si="13"/>
        <v>8800</v>
      </c>
      <c r="AF106" s="150">
        <f t="shared" si="14"/>
        <v>0</v>
      </c>
    </row>
    <row r="107" spans="1:32" x14ac:dyDescent="0.25">
      <c r="A107" s="315" t="s">
        <v>1275</v>
      </c>
      <c r="B107" s="315" t="s">
        <v>757</v>
      </c>
      <c r="C107" s="169" t="str">
        <f t="shared" si="9"/>
        <v>A</v>
      </c>
      <c r="D107" s="146" t="str">
        <f t="shared" si="10"/>
        <v>4</v>
      </c>
      <c r="E107" s="147" t="s">
        <v>13</v>
      </c>
      <c r="F107" s="147"/>
      <c r="G107" s="147"/>
      <c r="H107" s="148" t="s">
        <v>279</v>
      </c>
      <c r="I107" s="316">
        <v>25000</v>
      </c>
      <c r="J107" s="170">
        <f t="shared" si="11"/>
        <v>0</v>
      </c>
      <c r="K107" s="168">
        <f t="shared" si="12"/>
        <v>25000</v>
      </c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32">
        <f t="shared" si="8"/>
        <v>0</v>
      </c>
      <c r="AE107" s="132">
        <f t="shared" si="13"/>
        <v>25000</v>
      </c>
      <c r="AF107" s="150">
        <f t="shared" si="14"/>
        <v>0</v>
      </c>
    </row>
    <row r="108" spans="1:32" x14ac:dyDescent="0.25">
      <c r="A108" s="315" t="s">
        <v>833</v>
      </c>
      <c r="B108" s="315" t="s">
        <v>1233</v>
      </c>
      <c r="C108" s="169" t="str">
        <f t="shared" si="9"/>
        <v>A</v>
      </c>
      <c r="D108" s="146" t="str">
        <f t="shared" si="10"/>
        <v>4</v>
      </c>
      <c r="E108" s="147" t="s">
        <v>256</v>
      </c>
      <c r="F108" s="147"/>
      <c r="G108" s="147"/>
      <c r="H108" s="148" t="s">
        <v>279</v>
      </c>
      <c r="I108" s="316">
        <v>60000</v>
      </c>
      <c r="J108" s="170">
        <f t="shared" si="11"/>
        <v>0</v>
      </c>
      <c r="K108" s="168">
        <f t="shared" si="12"/>
        <v>60000</v>
      </c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32">
        <f t="shared" si="8"/>
        <v>0</v>
      </c>
      <c r="AE108" s="132">
        <f t="shared" si="13"/>
        <v>60000</v>
      </c>
      <c r="AF108" s="150">
        <f t="shared" si="14"/>
        <v>0</v>
      </c>
    </row>
    <row r="109" spans="1:32" x14ac:dyDescent="0.25">
      <c r="A109" s="315" t="s">
        <v>1544</v>
      </c>
      <c r="B109" s="315" t="s">
        <v>1046</v>
      </c>
      <c r="C109" s="169" t="str">
        <f t="shared" si="9"/>
        <v>A</v>
      </c>
      <c r="D109" s="146" t="str">
        <f t="shared" si="10"/>
        <v>4</v>
      </c>
      <c r="E109" s="147" t="s">
        <v>256</v>
      </c>
      <c r="F109" s="147"/>
      <c r="G109" s="147"/>
      <c r="H109" s="148" t="s">
        <v>279</v>
      </c>
      <c r="I109" s="316">
        <v>5500</v>
      </c>
      <c r="J109" s="170">
        <f t="shared" si="11"/>
        <v>0</v>
      </c>
      <c r="K109" s="168">
        <f t="shared" si="12"/>
        <v>5500</v>
      </c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32">
        <f t="shared" si="8"/>
        <v>0</v>
      </c>
      <c r="AE109" s="132">
        <f t="shared" si="13"/>
        <v>5500</v>
      </c>
      <c r="AF109" s="150">
        <f t="shared" si="14"/>
        <v>0</v>
      </c>
    </row>
    <row r="110" spans="1:32" x14ac:dyDescent="0.25">
      <c r="A110" s="315" t="s">
        <v>506</v>
      </c>
      <c r="B110" s="315" t="s">
        <v>1521</v>
      </c>
      <c r="C110" s="169" t="str">
        <f t="shared" si="9"/>
        <v>A</v>
      </c>
      <c r="D110" s="146" t="str">
        <f t="shared" si="10"/>
        <v>4</v>
      </c>
      <c r="E110" s="147" t="s">
        <v>256</v>
      </c>
      <c r="F110" s="147"/>
      <c r="G110" s="147"/>
      <c r="H110" s="148" t="s">
        <v>279</v>
      </c>
      <c r="I110" s="316">
        <v>16000</v>
      </c>
      <c r="J110" s="170">
        <f t="shared" si="11"/>
        <v>0</v>
      </c>
      <c r="K110" s="168">
        <f t="shared" si="12"/>
        <v>16000</v>
      </c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32">
        <f t="shared" si="8"/>
        <v>0</v>
      </c>
      <c r="AE110" s="132">
        <f t="shared" si="13"/>
        <v>16000</v>
      </c>
      <c r="AF110" s="150">
        <f t="shared" si="14"/>
        <v>0</v>
      </c>
    </row>
    <row r="111" spans="1:32" x14ac:dyDescent="0.25">
      <c r="A111" s="315" t="s">
        <v>878</v>
      </c>
      <c r="B111" s="315" t="s">
        <v>586</v>
      </c>
      <c r="C111" s="169" t="str">
        <f t="shared" si="9"/>
        <v>A</v>
      </c>
      <c r="D111" s="146" t="str">
        <f t="shared" si="10"/>
        <v>4</v>
      </c>
      <c r="E111" s="147" t="s">
        <v>256</v>
      </c>
      <c r="F111" s="147"/>
      <c r="G111" s="147"/>
      <c r="H111" s="148" t="s">
        <v>279</v>
      </c>
      <c r="I111" s="316">
        <v>386081</v>
      </c>
      <c r="J111" s="170">
        <f t="shared" si="11"/>
        <v>0</v>
      </c>
      <c r="K111" s="168">
        <f t="shared" si="12"/>
        <v>386081</v>
      </c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32">
        <f t="shared" si="8"/>
        <v>0</v>
      </c>
      <c r="AE111" s="132">
        <f t="shared" si="13"/>
        <v>386081</v>
      </c>
      <c r="AF111" s="150">
        <f t="shared" si="14"/>
        <v>0</v>
      </c>
    </row>
    <row r="112" spans="1:32" x14ac:dyDescent="0.25">
      <c r="A112" s="315" t="s">
        <v>791</v>
      </c>
      <c r="B112" s="315" t="s">
        <v>1228</v>
      </c>
      <c r="C112" s="169" t="str">
        <f t="shared" si="9"/>
        <v>A</v>
      </c>
      <c r="D112" s="146" t="str">
        <f t="shared" si="10"/>
        <v>4</v>
      </c>
      <c r="E112" s="147" t="s">
        <v>256</v>
      </c>
      <c r="F112" s="147"/>
      <c r="G112" s="147"/>
      <c r="H112" s="148" t="s">
        <v>279</v>
      </c>
      <c r="I112" s="316">
        <v>155540</v>
      </c>
      <c r="J112" s="170">
        <f t="shared" si="11"/>
        <v>0</v>
      </c>
      <c r="K112" s="168">
        <f t="shared" si="12"/>
        <v>155540</v>
      </c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32">
        <f t="shared" si="8"/>
        <v>0</v>
      </c>
      <c r="AE112" s="132">
        <f t="shared" si="13"/>
        <v>155540</v>
      </c>
      <c r="AF112" s="150">
        <f t="shared" si="14"/>
        <v>0</v>
      </c>
    </row>
    <row r="113" spans="1:32" x14ac:dyDescent="0.25">
      <c r="A113" s="315" t="s">
        <v>1012</v>
      </c>
      <c r="B113" s="315" t="s">
        <v>1383</v>
      </c>
      <c r="C113" s="169" t="str">
        <f t="shared" si="9"/>
        <v>A</v>
      </c>
      <c r="D113" s="146" t="str">
        <f t="shared" si="10"/>
        <v>4</v>
      </c>
      <c r="E113" s="147" t="s">
        <v>256</v>
      </c>
      <c r="F113" s="147"/>
      <c r="G113" s="147"/>
      <c r="H113" s="148" t="s">
        <v>279</v>
      </c>
      <c r="I113" s="316">
        <v>21536</v>
      </c>
      <c r="J113" s="170">
        <f t="shared" si="11"/>
        <v>0</v>
      </c>
      <c r="K113" s="168">
        <f t="shared" si="12"/>
        <v>21536</v>
      </c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32">
        <f t="shared" si="8"/>
        <v>0</v>
      </c>
      <c r="AE113" s="132">
        <f t="shared" si="13"/>
        <v>21536</v>
      </c>
      <c r="AF113" s="150">
        <f t="shared" si="14"/>
        <v>0</v>
      </c>
    </row>
    <row r="114" spans="1:32" x14ac:dyDescent="0.25">
      <c r="A114" s="315" t="s">
        <v>1343</v>
      </c>
      <c r="B114" s="315" t="s">
        <v>1106</v>
      </c>
      <c r="C114" s="169" t="str">
        <f t="shared" si="9"/>
        <v>A</v>
      </c>
      <c r="D114" s="146" t="str">
        <f t="shared" si="10"/>
        <v>4</v>
      </c>
      <c r="E114" s="147" t="s">
        <v>256</v>
      </c>
      <c r="F114" s="147"/>
      <c r="G114" s="147"/>
      <c r="H114" s="148" t="s">
        <v>279</v>
      </c>
      <c r="I114" s="316">
        <v>7600</v>
      </c>
      <c r="J114" s="170">
        <f t="shared" si="11"/>
        <v>0</v>
      </c>
      <c r="K114" s="168">
        <f t="shared" si="12"/>
        <v>7600</v>
      </c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32">
        <f t="shared" si="8"/>
        <v>0</v>
      </c>
      <c r="AE114" s="132">
        <f t="shared" si="13"/>
        <v>7600</v>
      </c>
      <c r="AF114" s="150">
        <f t="shared" si="14"/>
        <v>0</v>
      </c>
    </row>
    <row r="115" spans="1:32" x14ac:dyDescent="0.25">
      <c r="A115" s="315" t="s">
        <v>1058</v>
      </c>
      <c r="B115" s="315" t="s">
        <v>1265</v>
      </c>
      <c r="C115" s="169" t="str">
        <f t="shared" si="9"/>
        <v>A</v>
      </c>
      <c r="D115" s="146" t="str">
        <f t="shared" si="10"/>
        <v>4</v>
      </c>
      <c r="E115" s="147" t="s">
        <v>256</v>
      </c>
      <c r="F115" s="147"/>
      <c r="G115" s="147"/>
      <c r="H115" s="148" t="s">
        <v>279</v>
      </c>
      <c r="I115" s="316">
        <v>6000</v>
      </c>
      <c r="J115" s="170">
        <f t="shared" si="11"/>
        <v>0</v>
      </c>
      <c r="K115" s="168">
        <f t="shared" si="12"/>
        <v>6000</v>
      </c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32">
        <f t="shared" si="8"/>
        <v>0</v>
      </c>
      <c r="AE115" s="132">
        <f t="shared" si="13"/>
        <v>6000</v>
      </c>
      <c r="AF115" s="150">
        <f t="shared" si="14"/>
        <v>0</v>
      </c>
    </row>
    <row r="116" spans="1:32" x14ac:dyDescent="0.25">
      <c r="A116" s="315" t="s">
        <v>1069</v>
      </c>
      <c r="B116" s="315" t="s">
        <v>1132</v>
      </c>
      <c r="C116" s="169" t="str">
        <f t="shared" si="9"/>
        <v>A</v>
      </c>
      <c r="D116" s="146" t="str">
        <f t="shared" si="10"/>
        <v>4</v>
      </c>
      <c r="E116" s="147" t="s">
        <v>256</v>
      </c>
      <c r="F116" s="147"/>
      <c r="G116" s="147"/>
      <c r="H116" s="148" t="s">
        <v>279</v>
      </c>
      <c r="I116" s="316">
        <v>17000</v>
      </c>
      <c r="J116" s="170">
        <f t="shared" si="11"/>
        <v>0</v>
      </c>
      <c r="K116" s="168">
        <f t="shared" si="12"/>
        <v>17000</v>
      </c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32">
        <f t="shared" si="8"/>
        <v>0</v>
      </c>
      <c r="AE116" s="132">
        <f t="shared" si="13"/>
        <v>17000</v>
      </c>
      <c r="AF116" s="150">
        <f t="shared" si="14"/>
        <v>0</v>
      </c>
    </row>
    <row r="117" spans="1:32" x14ac:dyDescent="0.25">
      <c r="A117" s="315" t="s">
        <v>1475</v>
      </c>
      <c r="B117" s="315" t="s">
        <v>1615</v>
      </c>
      <c r="C117" s="169" t="str">
        <f t="shared" si="9"/>
        <v>A</v>
      </c>
      <c r="D117" s="146" t="str">
        <f t="shared" si="10"/>
        <v>4</v>
      </c>
      <c r="E117" s="147" t="s">
        <v>256</v>
      </c>
      <c r="F117" s="147"/>
      <c r="G117" s="147"/>
      <c r="H117" s="148" t="s">
        <v>279</v>
      </c>
      <c r="I117" s="316">
        <v>1600</v>
      </c>
      <c r="J117" s="170">
        <f t="shared" si="11"/>
        <v>0</v>
      </c>
      <c r="K117" s="168">
        <f t="shared" si="12"/>
        <v>1600</v>
      </c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32">
        <f t="shared" si="8"/>
        <v>0</v>
      </c>
      <c r="AE117" s="132">
        <f t="shared" si="13"/>
        <v>1600</v>
      </c>
      <c r="AF117" s="150">
        <f t="shared" si="14"/>
        <v>0</v>
      </c>
    </row>
    <row r="118" spans="1:32" x14ac:dyDescent="0.25">
      <c r="A118" s="315" t="s">
        <v>1100</v>
      </c>
      <c r="B118" s="315" t="s">
        <v>1186</v>
      </c>
      <c r="C118" s="169" t="str">
        <f t="shared" si="9"/>
        <v>A</v>
      </c>
      <c r="D118" s="146" t="str">
        <f t="shared" si="10"/>
        <v>4</v>
      </c>
      <c r="E118" s="147" t="s">
        <v>256</v>
      </c>
      <c r="F118" s="147"/>
      <c r="G118" s="147"/>
      <c r="H118" s="148" t="s">
        <v>279</v>
      </c>
      <c r="I118" s="316">
        <v>25000</v>
      </c>
      <c r="J118" s="170">
        <f t="shared" si="11"/>
        <v>0</v>
      </c>
      <c r="K118" s="168">
        <f t="shared" si="12"/>
        <v>25000</v>
      </c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32">
        <f t="shared" si="8"/>
        <v>0</v>
      </c>
      <c r="AE118" s="132">
        <f t="shared" si="13"/>
        <v>25000</v>
      </c>
      <c r="AF118" s="150">
        <f t="shared" si="14"/>
        <v>0</v>
      </c>
    </row>
    <row r="119" spans="1:32" x14ac:dyDescent="0.25">
      <c r="A119" s="315" t="s">
        <v>1159</v>
      </c>
      <c r="B119" s="315" t="s">
        <v>944</v>
      </c>
      <c r="C119" s="169" t="str">
        <f t="shared" si="9"/>
        <v>A</v>
      </c>
      <c r="D119" s="146" t="str">
        <f t="shared" si="10"/>
        <v>4</v>
      </c>
      <c r="E119" s="147" t="s">
        <v>256</v>
      </c>
      <c r="F119" s="147"/>
      <c r="G119" s="147"/>
      <c r="H119" s="148" t="s">
        <v>279</v>
      </c>
      <c r="I119" s="316">
        <v>70000</v>
      </c>
      <c r="J119" s="170">
        <f t="shared" si="11"/>
        <v>0</v>
      </c>
      <c r="K119" s="168">
        <f t="shared" si="12"/>
        <v>70000</v>
      </c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32">
        <f t="shared" si="8"/>
        <v>0</v>
      </c>
      <c r="AE119" s="132">
        <f t="shared" si="13"/>
        <v>70000</v>
      </c>
      <c r="AF119" s="150">
        <f t="shared" si="14"/>
        <v>0</v>
      </c>
    </row>
    <row r="120" spans="1:32" x14ac:dyDescent="0.25">
      <c r="A120" s="315" t="s">
        <v>899</v>
      </c>
      <c r="B120" s="315" t="s">
        <v>1373</v>
      </c>
      <c r="C120" s="169" t="str">
        <f t="shared" si="9"/>
        <v>A</v>
      </c>
      <c r="D120" s="146" t="str">
        <f t="shared" si="10"/>
        <v>4</v>
      </c>
      <c r="E120" s="147" t="s">
        <v>256</v>
      </c>
      <c r="F120" s="147"/>
      <c r="G120" s="147"/>
      <c r="H120" s="148" t="s">
        <v>279</v>
      </c>
      <c r="I120" s="316">
        <v>248001</v>
      </c>
      <c r="J120" s="170">
        <f t="shared" si="11"/>
        <v>0</v>
      </c>
      <c r="K120" s="168">
        <f t="shared" si="12"/>
        <v>248001</v>
      </c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32">
        <f t="shared" si="8"/>
        <v>0</v>
      </c>
      <c r="AE120" s="132">
        <f t="shared" si="13"/>
        <v>248001</v>
      </c>
      <c r="AF120" s="150">
        <f t="shared" si="14"/>
        <v>0</v>
      </c>
    </row>
    <row r="121" spans="1:32" x14ac:dyDescent="0.25">
      <c r="A121" s="315" t="s">
        <v>765</v>
      </c>
      <c r="B121" s="315" t="s">
        <v>886</v>
      </c>
      <c r="C121" s="169" t="str">
        <f t="shared" si="9"/>
        <v>A</v>
      </c>
      <c r="D121" s="146" t="str">
        <f t="shared" si="10"/>
        <v>4</v>
      </c>
      <c r="E121" s="147" t="s">
        <v>256</v>
      </c>
      <c r="F121" s="147"/>
      <c r="G121" s="147"/>
      <c r="H121" s="148" t="s">
        <v>279</v>
      </c>
      <c r="I121" s="316">
        <v>116225</v>
      </c>
      <c r="J121" s="170">
        <f t="shared" si="11"/>
        <v>0</v>
      </c>
      <c r="K121" s="168">
        <f t="shared" si="12"/>
        <v>116225</v>
      </c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32">
        <f t="shared" si="8"/>
        <v>0</v>
      </c>
      <c r="AE121" s="132">
        <f t="shared" si="13"/>
        <v>116225</v>
      </c>
      <c r="AF121" s="150">
        <f t="shared" si="14"/>
        <v>0</v>
      </c>
    </row>
    <row r="122" spans="1:32" x14ac:dyDescent="0.25">
      <c r="A122" s="315" t="s">
        <v>1227</v>
      </c>
      <c r="B122" s="315" t="s">
        <v>1225</v>
      </c>
      <c r="C122" s="169" t="str">
        <f t="shared" si="9"/>
        <v>A</v>
      </c>
      <c r="D122" s="146" t="str">
        <f t="shared" si="10"/>
        <v>1</v>
      </c>
      <c r="E122" s="147" t="s">
        <v>11</v>
      </c>
      <c r="F122" s="147"/>
      <c r="G122" s="147"/>
      <c r="H122" s="148" t="s">
        <v>279</v>
      </c>
      <c r="I122" s="316">
        <v>148969</v>
      </c>
      <c r="J122" s="170">
        <f t="shared" si="11"/>
        <v>0</v>
      </c>
      <c r="K122" s="168">
        <f t="shared" si="12"/>
        <v>148969</v>
      </c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32">
        <f t="shared" si="8"/>
        <v>0</v>
      </c>
      <c r="AE122" s="132">
        <f t="shared" si="13"/>
        <v>148969</v>
      </c>
      <c r="AF122" s="150">
        <f t="shared" si="14"/>
        <v>0</v>
      </c>
    </row>
    <row r="123" spans="1:32" x14ac:dyDescent="0.25">
      <c r="A123" s="315" t="s">
        <v>528</v>
      </c>
      <c r="B123" s="315" t="s">
        <v>1023</v>
      </c>
      <c r="C123" s="169" t="str">
        <f t="shared" si="9"/>
        <v>A</v>
      </c>
      <c r="D123" s="146" t="str">
        <f t="shared" si="10"/>
        <v>1</v>
      </c>
      <c r="E123" s="147" t="s">
        <v>11</v>
      </c>
      <c r="F123" s="147"/>
      <c r="G123" s="147"/>
      <c r="H123" s="148" t="s">
        <v>279</v>
      </c>
      <c r="I123" s="316">
        <v>0</v>
      </c>
      <c r="J123" s="170">
        <f t="shared" si="11"/>
        <v>0</v>
      </c>
      <c r="K123" s="168">
        <f t="shared" si="12"/>
        <v>0</v>
      </c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32">
        <f t="shared" si="8"/>
        <v>0</v>
      </c>
      <c r="AE123" s="132">
        <f t="shared" si="13"/>
        <v>0</v>
      </c>
      <c r="AF123" s="150">
        <f t="shared" si="14"/>
        <v>0</v>
      </c>
    </row>
    <row r="124" spans="1:32" x14ac:dyDescent="0.25">
      <c r="A124" s="315" t="s">
        <v>1283</v>
      </c>
      <c r="B124" s="315" t="s">
        <v>1126</v>
      </c>
      <c r="C124" s="169" t="str">
        <f t="shared" si="9"/>
        <v>A</v>
      </c>
      <c r="D124" s="146" t="str">
        <f t="shared" si="10"/>
        <v>1</v>
      </c>
      <c r="E124" s="147" t="s">
        <v>11</v>
      </c>
      <c r="F124" s="147"/>
      <c r="G124" s="147"/>
      <c r="H124" s="148" t="s">
        <v>279</v>
      </c>
      <c r="I124" s="316">
        <v>0</v>
      </c>
      <c r="J124" s="170">
        <f t="shared" si="11"/>
        <v>0</v>
      </c>
      <c r="K124" s="168">
        <f t="shared" si="12"/>
        <v>0</v>
      </c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32">
        <f t="shared" si="8"/>
        <v>0</v>
      </c>
      <c r="AE124" s="132">
        <f>SUM(J124,K124,AD124)</f>
        <v>0</v>
      </c>
      <c r="AF124" s="150">
        <f>+I124-AE124</f>
        <v>0</v>
      </c>
    </row>
    <row r="125" spans="1:32" x14ac:dyDescent="0.25">
      <c r="A125" s="315" t="s">
        <v>521</v>
      </c>
      <c r="B125" s="315" t="s">
        <v>1355</v>
      </c>
      <c r="C125" s="169" t="str">
        <f t="shared" si="9"/>
        <v>A</v>
      </c>
      <c r="D125" s="146" t="str">
        <f t="shared" si="10"/>
        <v>1</v>
      </c>
      <c r="E125" s="147" t="s">
        <v>11</v>
      </c>
      <c r="F125" s="147"/>
      <c r="G125" s="147"/>
      <c r="H125" s="148" t="s">
        <v>279</v>
      </c>
      <c r="I125" s="316">
        <v>3000</v>
      </c>
      <c r="J125" s="170">
        <f t="shared" si="11"/>
        <v>0</v>
      </c>
      <c r="K125" s="168">
        <f t="shared" si="12"/>
        <v>3000</v>
      </c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32">
        <f t="shared" si="8"/>
        <v>0</v>
      </c>
      <c r="AE125" s="132">
        <f t="shared" si="13"/>
        <v>3000</v>
      </c>
      <c r="AF125" s="150">
        <f t="shared" si="14"/>
        <v>0</v>
      </c>
    </row>
    <row r="126" spans="1:32" x14ac:dyDescent="0.25">
      <c r="A126" s="315" t="s">
        <v>978</v>
      </c>
      <c r="B126" s="315" t="s">
        <v>835</v>
      </c>
      <c r="C126" s="169" t="str">
        <f t="shared" si="9"/>
        <v>A</v>
      </c>
      <c r="D126" s="146" t="str">
        <f t="shared" si="10"/>
        <v>4</v>
      </c>
      <c r="E126" s="147" t="s">
        <v>11</v>
      </c>
      <c r="F126" s="147"/>
      <c r="G126" s="147"/>
      <c r="H126" s="148" t="s">
        <v>279</v>
      </c>
      <c r="I126" s="316">
        <v>2500</v>
      </c>
      <c r="J126" s="170">
        <f t="shared" si="11"/>
        <v>0</v>
      </c>
      <c r="K126" s="168">
        <f t="shared" si="12"/>
        <v>2500</v>
      </c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32">
        <f t="shared" si="8"/>
        <v>0</v>
      </c>
      <c r="AE126" s="132">
        <f t="shared" si="13"/>
        <v>2500</v>
      </c>
      <c r="AF126" s="150">
        <f t="shared" si="14"/>
        <v>0</v>
      </c>
    </row>
    <row r="127" spans="1:32" x14ac:dyDescent="0.25">
      <c r="A127" s="315" t="s">
        <v>1515</v>
      </c>
      <c r="B127" s="315" t="s">
        <v>994</v>
      </c>
      <c r="C127" s="169" t="str">
        <f t="shared" si="9"/>
        <v>A</v>
      </c>
      <c r="D127" s="146" t="str">
        <f t="shared" si="10"/>
        <v>4</v>
      </c>
      <c r="E127" s="147" t="s">
        <v>11</v>
      </c>
      <c r="F127" s="147"/>
      <c r="G127" s="147"/>
      <c r="H127" s="148" t="s">
        <v>279</v>
      </c>
      <c r="I127" s="316">
        <v>12000</v>
      </c>
      <c r="J127" s="170">
        <f t="shared" si="11"/>
        <v>0</v>
      </c>
      <c r="K127" s="168">
        <f t="shared" si="12"/>
        <v>12000</v>
      </c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32">
        <f t="shared" si="8"/>
        <v>0</v>
      </c>
      <c r="AE127" s="132">
        <f t="shared" si="13"/>
        <v>12000</v>
      </c>
      <c r="AF127" s="150">
        <f t="shared" si="14"/>
        <v>0</v>
      </c>
    </row>
    <row r="128" spans="1:32" x14ac:dyDescent="0.25">
      <c r="A128" s="315" t="s">
        <v>1621</v>
      </c>
      <c r="B128" s="315" t="s">
        <v>728</v>
      </c>
      <c r="C128" s="169" t="str">
        <f t="shared" si="9"/>
        <v>A</v>
      </c>
      <c r="D128" s="146" t="str">
        <f t="shared" si="10"/>
        <v>4</v>
      </c>
      <c r="E128" s="147" t="s">
        <v>11</v>
      </c>
      <c r="F128" s="147"/>
      <c r="G128" s="147"/>
      <c r="H128" s="148" t="s">
        <v>279</v>
      </c>
      <c r="I128" s="316">
        <v>16000</v>
      </c>
      <c r="J128" s="170">
        <f t="shared" si="11"/>
        <v>0</v>
      </c>
      <c r="K128" s="168">
        <f t="shared" si="12"/>
        <v>16000</v>
      </c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32">
        <f t="shared" si="8"/>
        <v>0</v>
      </c>
      <c r="AE128" s="132">
        <f t="shared" si="13"/>
        <v>16000</v>
      </c>
      <c r="AF128" s="150">
        <f t="shared" si="14"/>
        <v>0</v>
      </c>
    </row>
    <row r="129" spans="1:32" x14ac:dyDescent="0.25">
      <c r="A129" s="315" t="s">
        <v>1025</v>
      </c>
      <c r="B129" s="315" t="s">
        <v>1688</v>
      </c>
      <c r="C129" s="169" t="str">
        <f t="shared" si="9"/>
        <v>A</v>
      </c>
      <c r="D129" s="146" t="str">
        <f t="shared" si="10"/>
        <v>4</v>
      </c>
      <c r="E129" s="147" t="s">
        <v>11</v>
      </c>
      <c r="F129" s="147"/>
      <c r="G129" s="147"/>
      <c r="H129" s="148" t="s">
        <v>279</v>
      </c>
      <c r="I129" s="316">
        <v>6400</v>
      </c>
      <c r="J129" s="170">
        <f t="shared" si="11"/>
        <v>0</v>
      </c>
      <c r="K129" s="168">
        <f t="shared" si="12"/>
        <v>6400</v>
      </c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32">
        <f t="shared" si="8"/>
        <v>0</v>
      </c>
      <c r="AE129" s="132">
        <f t="shared" si="13"/>
        <v>6400</v>
      </c>
      <c r="AF129" s="150">
        <f t="shared" si="14"/>
        <v>0</v>
      </c>
    </row>
    <row r="130" spans="1:32" x14ac:dyDescent="0.25">
      <c r="A130" s="315" t="s">
        <v>834</v>
      </c>
      <c r="B130" s="315" t="s">
        <v>609</v>
      </c>
      <c r="C130" s="169" t="str">
        <f t="shared" si="9"/>
        <v>A</v>
      </c>
      <c r="D130" s="146" t="str">
        <f t="shared" si="10"/>
        <v>4</v>
      </c>
      <c r="E130" s="147" t="s">
        <v>11</v>
      </c>
      <c r="F130" s="147"/>
      <c r="G130" s="147"/>
      <c r="H130" s="148" t="s">
        <v>279</v>
      </c>
      <c r="I130" s="316">
        <v>2400</v>
      </c>
      <c r="J130" s="170">
        <f t="shared" si="11"/>
        <v>0</v>
      </c>
      <c r="K130" s="168">
        <f t="shared" si="12"/>
        <v>2400</v>
      </c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32">
        <f t="shared" si="8"/>
        <v>0</v>
      </c>
      <c r="AE130" s="132">
        <f t="shared" si="13"/>
        <v>2400</v>
      </c>
      <c r="AF130" s="150">
        <f t="shared" si="14"/>
        <v>0</v>
      </c>
    </row>
    <row r="131" spans="1:32" x14ac:dyDescent="0.25">
      <c r="A131" s="315" t="s">
        <v>1400</v>
      </c>
      <c r="B131" s="315" t="s">
        <v>890</v>
      </c>
      <c r="C131" s="169" t="str">
        <f t="shared" si="9"/>
        <v>A</v>
      </c>
      <c r="D131" s="146" t="str">
        <f t="shared" si="10"/>
        <v>4</v>
      </c>
      <c r="E131" s="147" t="s">
        <v>11</v>
      </c>
      <c r="F131" s="147"/>
      <c r="G131" s="147"/>
      <c r="H131" s="148" t="s">
        <v>279</v>
      </c>
      <c r="I131" s="316">
        <v>1200</v>
      </c>
      <c r="J131" s="170">
        <f t="shared" si="11"/>
        <v>0</v>
      </c>
      <c r="K131" s="168">
        <f t="shared" si="12"/>
        <v>1200</v>
      </c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32">
        <f t="shared" si="8"/>
        <v>0</v>
      </c>
      <c r="AE131" s="132">
        <f t="shared" si="13"/>
        <v>1200</v>
      </c>
      <c r="AF131" s="150">
        <f t="shared" si="14"/>
        <v>0</v>
      </c>
    </row>
    <row r="132" spans="1:32" x14ac:dyDescent="0.25">
      <c r="A132" s="315" t="s">
        <v>1089</v>
      </c>
      <c r="B132" s="315" t="s">
        <v>1023</v>
      </c>
      <c r="C132" s="169" t="str">
        <f t="shared" si="9"/>
        <v>A</v>
      </c>
      <c r="D132" s="146" t="str">
        <f t="shared" si="10"/>
        <v>1</v>
      </c>
      <c r="E132" s="147" t="s">
        <v>260</v>
      </c>
      <c r="F132" s="147"/>
      <c r="G132" s="147"/>
      <c r="H132" s="148" t="s">
        <v>279</v>
      </c>
      <c r="I132" s="316">
        <v>679980</v>
      </c>
      <c r="J132" s="170">
        <f t="shared" si="11"/>
        <v>0</v>
      </c>
      <c r="K132" s="168">
        <f t="shared" si="12"/>
        <v>679980</v>
      </c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32">
        <f t="shared" si="8"/>
        <v>0</v>
      </c>
      <c r="AE132" s="132">
        <f t="shared" si="13"/>
        <v>679980</v>
      </c>
      <c r="AF132" s="150">
        <f t="shared" si="14"/>
        <v>0</v>
      </c>
    </row>
    <row r="133" spans="1:32" x14ac:dyDescent="0.25">
      <c r="A133" s="315" t="s">
        <v>1693</v>
      </c>
      <c r="B133" s="315" t="s">
        <v>1543</v>
      </c>
      <c r="C133" s="169" t="str">
        <f t="shared" si="9"/>
        <v>A</v>
      </c>
      <c r="D133" s="146" t="str">
        <f t="shared" si="10"/>
        <v>1</v>
      </c>
      <c r="E133" s="147" t="s">
        <v>440</v>
      </c>
      <c r="F133" s="147" t="s">
        <v>320</v>
      </c>
      <c r="G133" s="147" t="s">
        <v>36</v>
      </c>
      <c r="H133" s="148" t="s">
        <v>279</v>
      </c>
      <c r="I133" s="316">
        <v>503146</v>
      </c>
      <c r="J133" s="170">
        <f t="shared" si="11"/>
        <v>0</v>
      </c>
      <c r="K133" s="168" t="str">
        <f t="shared" si="12"/>
        <v xml:space="preserve"> </v>
      </c>
      <c r="L133" s="147">
        <f>I133</f>
        <v>503146</v>
      </c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32">
        <f t="shared" si="8"/>
        <v>503146</v>
      </c>
      <c r="AE133" s="132">
        <f t="shared" si="13"/>
        <v>503146</v>
      </c>
      <c r="AF133" s="150">
        <f t="shared" si="14"/>
        <v>0</v>
      </c>
    </row>
    <row r="134" spans="1:32" x14ac:dyDescent="0.25">
      <c r="A134" s="315" t="s">
        <v>1147</v>
      </c>
      <c r="B134" s="315" t="s">
        <v>975</v>
      </c>
      <c r="C134" s="169" t="str">
        <f t="shared" si="9"/>
        <v>A</v>
      </c>
      <c r="D134" s="146" t="str">
        <f t="shared" si="10"/>
        <v>1</v>
      </c>
      <c r="E134" s="147" t="s">
        <v>440</v>
      </c>
      <c r="F134" s="147" t="s">
        <v>320</v>
      </c>
      <c r="G134" s="147" t="s">
        <v>36</v>
      </c>
      <c r="H134" s="148" t="s">
        <v>279</v>
      </c>
      <c r="I134" s="316">
        <v>278930</v>
      </c>
      <c r="J134" s="170">
        <f t="shared" si="11"/>
        <v>0</v>
      </c>
      <c r="K134" s="168" t="str">
        <f t="shared" si="12"/>
        <v xml:space="preserve"> </v>
      </c>
      <c r="L134" s="147"/>
      <c r="M134" s="147">
        <f>I134</f>
        <v>278930</v>
      </c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32">
        <f t="shared" si="8"/>
        <v>278930</v>
      </c>
      <c r="AE134" s="132">
        <f t="shared" si="13"/>
        <v>278930</v>
      </c>
      <c r="AF134" s="150">
        <f t="shared" si="14"/>
        <v>0</v>
      </c>
    </row>
    <row r="135" spans="1:32" x14ac:dyDescent="0.25">
      <c r="A135" s="315" t="s">
        <v>1479</v>
      </c>
      <c r="B135" s="315" t="s">
        <v>632</v>
      </c>
      <c r="C135" s="169" t="str">
        <f t="shared" si="9"/>
        <v>A</v>
      </c>
      <c r="D135" s="146" t="str">
        <f t="shared" si="10"/>
        <v>1</v>
      </c>
      <c r="E135" s="147" t="s">
        <v>440</v>
      </c>
      <c r="F135" s="147" t="s">
        <v>320</v>
      </c>
      <c r="G135" s="147" t="s">
        <v>36</v>
      </c>
      <c r="H135" s="148" t="s">
        <v>279</v>
      </c>
      <c r="I135" s="316">
        <v>149756</v>
      </c>
      <c r="J135" s="170">
        <f t="shared" si="11"/>
        <v>0</v>
      </c>
      <c r="K135" s="168" t="str">
        <f t="shared" si="12"/>
        <v xml:space="preserve"> </v>
      </c>
      <c r="L135" s="147"/>
      <c r="M135" s="147"/>
      <c r="N135" s="147">
        <f>I135</f>
        <v>149756</v>
      </c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32">
        <f t="shared" ref="AD135:AD198" si="15">SUM(L135:AC135)</f>
        <v>149756</v>
      </c>
      <c r="AE135" s="132">
        <f t="shared" ref="AE135:AE201" si="16">SUM(J135,K135,AD135)</f>
        <v>149756</v>
      </c>
      <c r="AF135" s="150">
        <f t="shared" ref="AF135:AF201" si="17">+I135-AE135</f>
        <v>0</v>
      </c>
    </row>
    <row r="136" spans="1:32" x14ac:dyDescent="0.25">
      <c r="A136" s="315" t="s">
        <v>1043</v>
      </c>
      <c r="B136" s="315" t="s">
        <v>1670</v>
      </c>
      <c r="C136" s="169" t="str">
        <f t="shared" ref="C136:C199" si="18">CONCATENATE(MID(A136,1,1))</f>
        <v>A</v>
      </c>
      <c r="D136" s="146" t="str">
        <f t="shared" ref="D136:D199" si="19">CONCATENATE(MID(A136,8,1))</f>
        <v>1</v>
      </c>
      <c r="E136" s="147" t="s">
        <v>440</v>
      </c>
      <c r="F136" s="147" t="s">
        <v>320</v>
      </c>
      <c r="G136" s="147" t="s">
        <v>36</v>
      </c>
      <c r="H136" s="148" t="s">
        <v>279</v>
      </c>
      <c r="I136" s="316">
        <v>149256</v>
      </c>
      <c r="J136" s="170">
        <f t="shared" ref="J136:J199" si="20">IF(D136="8",I136,0)</f>
        <v>0</v>
      </c>
      <c r="K136" s="168" t="str">
        <f t="shared" ref="K136:K199" si="21">IF(E136&lt;&gt;"S",IF(D136&lt;&gt;"8",I136,"")," ")</f>
        <v xml:space="preserve"> </v>
      </c>
      <c r="L136" s="147"/>
      <c r="M136" s="147"/>
      <c r="N136" s="147"/>
      <c r="O136" s="147">
        <f>I136</f>
        <v>149256</v>
      </c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32">
        <f t="shared" si="15"/>
        <v>149256</v>
      </c>
      <c r="AE136" s="132">
        <f t="shared" si="16"/>
        <v>149256</v>
      </c>
      <c r="AF136" s="150">
        <f t="shared" si="17"/>
        <v>0</v>
      </c>
    </row>
    <row r="137" spans="1:32" x14ac:dyDescent="0.25">
      <c r="A137" s="315" t="s">
        <v>1056</v>
      </c>
      <c r="B137" s="315" t="s">
        <v>1624</v>
      </c>
      <c r="C137" s="169" t="str">
        <f t="shared" si="18"/>
        <v>A</v>
      </c>
      <c r="D137" s="146" t="str">
        <f t="shared" si="19"/>
        <v>1</v>
      </c>
      <c r="E137" s="147" t="s">
        <v>440</v>
      </c>
      <c r="F137" s="147" t="s">
        <v>320</v>
      </c>
      <c r="G137" s="147" t="s">
        <v>36</v>
      </c>
      <c r="H137" s="148" t="s">
        <v>279</v>
      </c>
      <c r="I137" s="316">
        <v>150506</v>
      </c>
      <c r="J137" s="170">
        <f t="shared" si="20"/>
        <v>0</v>
      </c>
      <c r="K137" s="168" t="str">
        <f t="shared" si="21"/>
        <v xml:space="preserve"> </v>
      </c>
      <c r="L137" s="147"/>
      <c r="M137" s="147"/>
      <c r="N137" s="147"/>
      <c r="O137" s="147"/>
      <c r="P137" s="147">
        <f>I137</f>
        <v>150506</v>
      </c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32">
        <f t="shared" si="15"/>
        <v>150506</v>
      </c>
      <c r="AE137" s="132">
        <f t="shared" si="16"/>
        <v>150506</v>
      </c>
      <c r="AF137" s="150">
        <f t="shared" si="17"/>
        <v>0</v>
      </c>
    </row>
    <row r="138" spans="1:32" x14ac:dyDescent="0.25">
      <c r="A138" s="315" t="s">
        <v>1068</v>
      </c>
      <c r="B138" s="315" t="s">
        <v>1549</v>
      </c>
      <c r="C138" s="169" t="str">
        <f t="shared" si="18"/>
        <v>A</v>
      </c>
      <c r="D138" s="146" t="str">
        <f t="shared" si="19"/>
        <v>1</v>
      </c>
      <c r="E138" s="147" t="s">
        <v>440</v>
      </c>
      <c r="F138" s="147" t="s">
        <v>320</v>
      </c>
      <c r="G138" s="147" t="s">
        <v>36</v>
      </c>
      <c r="H138" s="148" t="s">
        <v>279</v>
      </c>
      <c r="I138" s="316">
        <v>3000</v>
      </c>
      <c r="J138" s="170">
        <f t="shared" si="20"/>
        <v>0</v>
      </c>
      <c r="K138" s="168" t="str">
        <f t="shared" si="21"/>
        <v xml:space="preserve"> </v>
      </c>
      <c r="L138" s="147">
        <f>$I$138*L7</f>
        <v>978.73036649214657</v>
      </c>
      <c r="M138" s="147">
        <f t="shared" ref="M138:P138" si="22">$I$138*M7</f>
        <v>706.80628272251306</v>
      </c>
      <c r="N138" s="147">
        <f t="shared" si="22"/>
        <v>421.13874345549738</v>
      </c>
      <c r="O138" s="147">
        <f t="shared" si="22"/>
        <v>430.95549738219898</v>
      </c>
      <c r="P138" s="147">
        <f t="shared" si="22"/>
        <v>462.36910994764401</v>
      </c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32">
        <f t="shared" si="15"/>
        <v>3000</v>
      </c>
      <c r="AE138" s="132">
        <f t="shared" si="16"/>
        <v>3000</v>
      </c>
      <c r="AF138" s="150">
        <f t="shared" si="17"/>
        <v>0</v>
      </c>
    </row>
    <row r="139" spans="1:32" x14ac:dyDescent="0.25">
      <c r="A139" s="315" t="s">
        <v>946</v>
      </c>
      <c r="B139" s="315" t="s">
        <v>1047</v>
      </c>
      <c r="C139" s="169" t="str">
        <f t="shared" si="18"/>
        <v>A</v>
      </c>
      <c r="D139" s="146" t="str">
        <f t="shared" si="19"/>
        <v>1</v>
      </c>
      <c r="E139" s="147" t="s">
        <v>440</v>
      </c>
      <c r="F139" s="147" t="s">
        <v>320</v>
      </c>
      <c r="G139" s="147" t="s">
        <v>36</v>
      </c>
      <c r="H139" s="148" t="s">
        <v>279</v>
      </c>
      <c r="I139" s="316">
        <v>300426</v>
      </c>
      <c r="J139" s="170">
        <f t="shared" si="20"/>
        <v>0</v>
      </c>
      <c r="K139" s="168" t="str">
        <f t="shared" si="21"/>
        <v xml:space="preserve"> </v>
      </c>
      <c r="L139" s="147">
        <f>I139</f>
        <v>300426</v>
      </c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32">
        <f t="shared" si="15"/>
        <v>300426</v>
      </c>
      <c r="AE139" s="132">
        <f t="shared" si="16"/>
        <v>300426</v>
      </c>
      <c r="AF139" s="150">
        <f t="shared" si="17"/>
        <v>0</v>
      </c>
    </row>
    <row r="140" spans="1:32" x14ac:dyDescent="0.25">
      <c r="A140" s="315" t="s">
        <v>971</v>
      </c>
      <c r="B140" s="315" t="s">
        <v>535</v>
      </c>
      <c r="C140" s="169" t="str">
        <f t="shared" si="18"/>
        <v>A</v>
      </c>
      <c r="D140" s="146" t="str">
        <f t="shared" si="19"/>
        <v>1</v>
      </c>
      <c r="E140" s="147" t="s">
        <v>440</v>
      </c>
      <c r="F140" s="147" t="s">
        <v>320</v>
      </c>
      <c r="G140" s="147" t="s">
        <v>36</v>
      </c>
      <c r="H140" s="148" t="s">
        <v>279</v>
      </c>
      <c r="I140" s="316">
        <v>10000</v>
      </c>
      <c r="J140" s="170">
        <f t="shared" si="20"/>
        <v>0</v>
      </c>
      <c r="K140" s="168" t="str">
        <f t="shared" si="21"/>
        <v xml:space="preserve"> </v>
      </c>
      <c r="L140" s="147">
        <f>I140</f>
        <v>10000</v>
      </c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32">
        <f t="shared" si="15"/>
        <v>10000</v>
      </c>
      <c r="AE140" s="132">
        <f t="shared" si="16"/>
        <v>10000</v>
      </c>
      <c r="AF140" s="150">
        <f t="shared" si="17"/>
        <v>0</v>
      </c>
    </row>
    <row r="141" spans="1:32" x14ac:dyDescent="0.25">
      <c r="A141" s="315" t="s">
        <v>810</v>
      </c>
      <c r="B141" s="315" t="s">
        <v>1211</v>
      </c>
      <c r="C141" s="169" t="str">
        <f t="shared" si="18"/>
        <v>A</v>
      </c>
      <c r="D141" s="146" t="str">
        <f t="shared" si="19"/>
        <v>1</v>
      </c>
      <c r="E141" s="147" t="s">
        <v>440</v>
      </c>
      <c r="F141" s="147" t="s">
        <v>320</v>
      </c>
      <c r="G141" s="147" t="s">
        <v>36</v>
      </c>
      <c r="H141" s="148" t="s">
        <v>279</v>
      </c>
      <c r="I141" s="316">
        <v>92800</v>
      </c>
      <c r="J141" s="170">
        <f t="shared" si="20"/>
        <v>0</v>
      </c>
      <c r="K141" s="168" t="str">
        <f t="shared" si="21"/>
        <v xml:space="preserve"> </v>
      </c>
      <c r="L141" s="147"/>
      <c r="M141" s="147">
        <f>I141</f>
        <v>92800</v>
      </c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32">
        <f t="shared" si="15"/>
        <v>92800</v>
      </c>
      <c r="AE141" s="132">
        <f t="shared" si="16"/>
        <v>92800</v>
      </c>
      <c r="AF141" s="150">
        <f t="shared" si="17"/>
        <v>0</v>
      </c>
    </row>
    <row r="142" spans="1:32" x14ac:dyDescent="0.25">
      <c r="A142" s="315" t="s">
        <v>1033</v>
      </c>
      <c r="B142" s="315" t="s">
        <v>1572</v>
      </c>
      <c r="C142" s="169" t="str">
        <f t="shared" si="18"/>
        <v>A</v>
      </c>
      <c r="D142" s="146" t="str">
        <f t="shared" si="19"/>
        <v>1</v>
      </c>
      <c r="E142" s="147" t="s">
        <v>440</v>
      </c>
      <c r="F142" s="147" t="s">
        <v>320</v>
      </c>
      <c r="G142" s="147" t="s">
        <v>36</v>
      </c>
      <c r="H142" s="148" t="s">
        <v>279</v>
      </c>
      <c r="I142" s="316">
        <v>7500</v>
      </c>
      <c r="J142" s="170">
        <f t="shared" si="20"/>
        <v>0</v>
      </c>
      <c r="K142" s="168" t="str">
        <f t="shared" si="21"/>
        <v xml:space="preserve"> </v>
      </c>
      <c r="L142" s="147"/>
      <c r="M142" s="147">
        <f>I142</f>
        <v>7500</v>
      </c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32">
        <f t="shared" si="15"/>
        <v>7500</v>
      </c>
      <c r="AE142" s="132">
        <f t="shared" si="16"/>
        <v>7500</v>
      </c>
      <c r="AF142" s="150">
        <f t="shared" si="17"/>
        <v>0</v>
      </c>
    </row>
    <row r="143" spans="1:32" x14ac:dyDescent="0.25">
      <c r="A143" s="315" t="s">
        <v>538</v>
      </c>
      <c r="B143" s="315" t="s">
        <v>644</v>
      </c>
      <c r="C143" s="169" t="str">
        <f t="shared" si="18"/>
        <v>A</v>
      </c>
      <c r="D143" s="146" t="str">
        <f t="shared" si="19"/>
        <v>1</v>
      </c>
      <c r="E143" s="147" t="s">
        <v>440</v>
      </c>
      <c r="F143" s="147" t="s">
        <v>320</v>
      </c>
      <c r="G143" s="147" t="s">
        <v>36</v>
      </c>
      <c r="H143" s="148" t="s">
        <v>279</v>
      </c>
      <c r="I143" s="316">
        <v>61629</v>
      </c>
      <c r="J143" s="170">
        <f t="shared" si="20"/>
        <v>0</v>
      </c>
      <c r="K143" s="168" t="str">
        <f t="shared" si="21"/>
        <v xml:space="preserve"> </v>
      </c>
      <c r="L143" s="147"/>
      <c r="M143" s="147"/>
      <c r="N143" s="147">
        <f>I143</f>
        <v>61629</v>
      </c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32">
        <f t="shared" si="15"/>
        <v>61629</v>
      </c>
      <c r="AE143" s="132">
        <f t="shared" si="16"/>
        <v>61629</v>
      </c>
      <c r="AF143" s="150">
        <f t="shared" si="17"/>
        <v>0</v>
      </c>
    </row>
    <row r="144" spans="1:32" x14ac:dyDescent="0.25">
      <c r="A144" s="315" t="s">
        <v>906</v>
      </c>
      <c r="B144" s="315" t="s">
        <v>1755</v>
      </c>
      <c r="C144" s="169" t="str">
        <f t="shared" si="18"/>
        <v>A</v>
      </c>
      <c r="D144" s="146" t="str">
        <f t="shared" si="19"/>
        <v>1</v>
      </c>
      <c r="E144" s="147" t="s">
        <v>440</v>
      </c>
      <c r="F144" s="147" t="s">
        <v>320</v>
      </c>
      <c r="G144" s="147" t="s">
        <v>36</v>
      </c>
      <c r="H144" s="148" t="s">
        <v>279</v>
      </c>
      <c r="I144" s="316">
        <v>12000</v>
      </c>
      <c r="J144" s="170">
        <f t="shared" si="20"/>
        <v>0</v>
      </c>
      <c r="K144" s="168" t="str">
        <f t="shared" si="21"/>
        <v xml:space="preserve"> </v>
      </c>
      <c r="L144" s="147"/>
      <c r="M144" s="147"/>
      <c r="N144" s="147">
        <f>I144</f>
        <v>12000</v>
      </c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32">
        <f t="shared" si="15"/>
        <v>12000</v>
      </c>
      <c r="AE144" s="132">
        <f t="shared" si="16"/>
        <v>12000</v>
      </c>
      <c r="AF144" s="150">
        <f t="shared" si="17"/>
        <v>0</v>
      </c>
    </row>
    <row r="145" spans="1:32" x14ac:dyDescent="0.25">
      <c r="A145" s="315" t="s">
        <v>1376</v>
      </c>
      <c r="B145" s="315" t="s">
        <v>1071</v>
      </c>
      <c r="C145" s="169" t="str">
        <f t="shared" si="18"/>
        <v>A</v>
      </c>
      <c r="D145" s="146" t="str">
        <f t="shared" si="19"/>
        <v>1</v>
      </c>
      <c r="E145" s="147" t="s">
        <v>440</v>
      </c>
      <c r="F145" s="147" t="s">
        <v>320</v>
      </c>
      <c r="G145" s="147" t="s">
        <v>36</v>
      </c>
      <c r="H145" s="148" t="s">
        <v>279</v>
      </c>
      <c r="I145" s="316">
        <v>61710</v>
      </c>
      <c r="J145" s="170">
        <f t="shared" si="20"/>
        <v>0</v>
      </c>
      <c r="K145" s="168" t="str">
        <f t="shared" si="21"/>
        <v xml:space="preserve"> </v>
      </c>
      <c r="L145" s="147"/>
      <c r="M145" s="147"/>
      <c r="N145" s="147"/>
      <c r="O145" s="147">
        <f>I145</f>
        <v>61710</v>
      </c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32">
        <f t="shared" si="15"/>
        <v>61710</v>
      </c>
      <c r="AE145" s="132">
        <f t="shared" si="16"/>
        <v>61710</v>
      </c>
      <c r="AF145" s="150">
        <f t="shared" si="17"/>
        <v>0</v>
      </c>
    </row>
    <row r="146" spans="1:32" x14ac:dyDescent="0.25">
      <c r="A146" s="315" t="s">
        <v>807</v>
      </c>
      <c r="B146" s="317" t="s">
        <v>1689</v>
      </c>
      <c r="C146" s="169" t="str">
        <f t="shared" si="18"/>
        <v>A</v>
      </c>
      <c r="D146" s="146" t="str">
        <f t="shared" si="19"/>
        <v>1</v>
      </c>
      <c r="E146" s="147" t="s">
        <v>440</v>
      </c>
      <c r="F146" s="147" t="s">
        <v>320</v>
      </c>
      <c r="G146" s="147" t="s">
        <v>36</v>
      </c>
      <c r="H146" s="148" t="s">
        <v>279</v>
      </c>
      <c r="I146" s="316">
        <v>12000</v>
      </c>
      <c r="J146" s="170">
        <f t="shared" si="20"/>
        <v>0</v>
      </c>
      <c r="K146" s="168" t="str">
        <f t="shared" si="21"/>
        <v xml:space="preserve"> </v>
      </c>
      <c r="L146" s="147"/>
      <c r="M146" s="147"/>
      <c r="N146" s="147"/>
      <c r="O146" s="147">
        <f>I146</f>
        <v>12000</v>
      </c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32">
        <f t="shared" si="15"/>
        <v>12000</v>
      </c>
      <c r="AE146" s="132">
        <f t="shared" si="16"/>
        <v>12000</v>
      </c>
      <c r="AF146" s="150">
        <f t="shared" si="17"/>
        <v>0</v>
      </c>
    </row>
    <row r="147" spans="1:32" x14ac:dyDescent="0.25">
      <c r="A147" s="315" t="s">
        <v>818</v>
      </c>
      <c r="B147" s="315" t="s">
        <v>993</v>
      </c>
      <c r="C147" s="169" t="str">
        <f t="shared" si="18"/>
        <v>A</v>
      </c>
      <c r="D147" s="146" t="str">
        <f t="shared" si="19"/>
        <v>1</v>
      </c>
      <c r="E147" s="147" t="s">
        <v>440</v>
      </c>
      <c r="F147" s="147" t="s">
        <v>320</v>
      </c>
      <c r="G147" s="147" t="s">
        <v>36</v>
      </c>
      <c r="H147" s="148" t="s">
        <v>279</v>
      </c>
      <c r="I147" s="316">
        <v>55449</v>
      </c>
      <c r="J147" s="170">
        <f t="shared" si="20"/>
        <v>0</v>
      </c>
      <c r="K147" s="168" t="str">
        <f t="shared" si="21"/>
        <v xml:space="preserve"> </v>
      </c>
      <c r="L147" s="147"/>
      <c r="M147" s="147"/>
      <c r="N147" s="147"/>
      <c r="O147" s="147"/>
      <c r="P147" s="147">
        <f>I147</f>
        <v>55449</v>
      </c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32">
        <f t="shared" si="15"/>
        <v>55449</v>
      </c>
      <c r="AE147" s="132">
        <f t="shared" si="16"/>
        <v>55449</v>
      </c>
      <c r="AF147" s="150">
        <f t="shared" si="17"/>
        <v>0</v>
      </c>
    </row>
    <row r="148" spans="1:32" x14ac:dyDescent="0.25">
      <c r="A148" s="315" t="s">
        <v>948</v>
      </c>
      <c r="B148" s="315" t="s">
        <v>752</v>
      </c>
      <c r="C148" s="169" t="str">
        <f t="shared" si="18"/>
        <v>A</v>
      </c>
      <c r="D148" s="146" t="str">
        <f t="shared" si="19"/>
        <v>1</v>
      </c>
      <c r="E148" s="147" t="s">
        <v>440</v>
      </c>
      <c r="F148" s="147" t="s">
        <v>320</v>
      </c>
      <c r="G148" s="147" t="s">
        <v>36</v>
      </c>
      <c r="H148" s="148" t="s">
        <v>279</v>
      </c>
      <c r="I148" s="316">
        <v>12000</v>
      </c>
      <c r="J148" s="170">
        <f t="shared" si="20"/>
        <v>0</v>
      </c>
      <c r="K148" s="168" t="str">
        <f t="shared" si="21"/>
        <v xml:space="preserve"> </v>
      </c>
      <c r="L148" s="147"/>
      <c r="M148" s="147"/>
      <c r="N148" s="147"/>
      <c r="O148" s="147"/>
      <c r="P148" s="147">
        <f>I148</f>
        <v>12000</v>
      </c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32">
        <f t="shared" si="15"/>
        <v>12000</v>
      </c>
      <c r="AE148" s="132">
        <f t="shared" si="16"/>
        <v>12000</v>
      </c>
      <c r="AF148" s="150">
        <f t="shared" si="17"/>
        <v>0</v>
      </c>
    </row>
    <row r="149" spans="1:32" x14ac:dyDescent="0.25">
      <c r="A149" s="315" t="s">
        <v>1280</v>
      </c>
      <c r="B149" s="315" t="s">
        <v>859</v>
      </c>
      <c r="C149" s="169" t="str">
        <f t="shared" si="18"/>
        <v>A</v>
      </c>
      <c r="D149" s="146" t="str">
        <f t="shared" si="19"/>
        <v>1</v>
      </c>
      <c r="E149" s="147" t="s">
        <v>440</v>
      </c>
      <c r="F149" s="147" t="s">
        <v>320</v>
      </c>
      <c r="G149" s="147" t="s">
        <v>36</v>
      </c>
      <c r="H149" s="148" t="s">
        <v>279</v>
      </c>
      <c r="I149" s="316">
        <v>1000</v>
      </c>
      <c r="J149" s="170">
        <f t="shared" si="20"/>
        <v>0</v>
      </c>
      <c r="K149" s="168" t="str">
        <f t="shared" si="21"/>
        <v xml:space="preserve"> </v>
      </c>
      <c r="L149" s="147">
        <f>I149*0.75</f>
        <v>750</v>
      </c>
      <c r="M149" s="147">
        <f>I149*0.25</f>
        <v>250</v>
      </c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32">
        <f t="shared" si="15"/>
        <v>1000</v>
      </c>
      <c r="AE149" s="132">
        <f t="shared" si="16"/>
        <v>1000</v>
      </c>
      <c r="AF149" s="150">
        <f t="shared" si="17"/>
        <v>0</v>
      </c>
    </row>
    <row r="150" spans="1:32" x14ac:dyDescent="0.25">
      <c r="A150" s="315" t="s">
        <v>485</v>
      </c>
      <c r="B150" s="315" t="s">
        <v>716</v>
      </c>
      <c r="C150" s="169" t="str">
        <f t="shared" si="18"/>
        <v>A</v>
      </c>
      <c r="D150" s="146" t="str">
        <f t="shared" si="19"/>
        <v>1</v>
      </c>
      <c r="E150" s="147" t="s">
        <v>440</v>
      </c>
      <c r="F150" s="147" t="s">
        <v>320</v>
      </c>
      <c r="G150" s="147" t="s">
        <v>36</v>
      </c>
      <c r="H150" s="148" t="s">
        <v>279</v>
      </c>
      <c r="I150" s="316">
        <v>30000</v>
      </c>
      <c r="J150" s="170">
        <f t="shared" si="20"/>
        <v>0</v>
      </c>
      <c r="K150" s="168" t="str">
        <f t="shared" si="21"/>
        <v xml:space="preserve"> </v>
      </c>
      <c r="L150" s="147">
        <f>I150</f>
        <v>30000</v>
      </c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32">
        <f t="shared" si="15"/>
        <v>30000</v>
      </c>
      <c r="AE150" s="132">
        <f t="shared" si="16"/>
        <v>30000</v>
      </c>
      <c r="AF150" s="150">
        <f t="shared" si="17"/>
        <v>0</v>
      </c>
    </row>
    <row r="151" spans="1:32" x14ac:dyDescent="0.25">
      <c r="A151" s="315" t="s">
        <v>1502</v>
      </c>
      <c r="B151" s="315" t="s">
        <v>537</v>
      </c>
      <c r="C151" s="169" t="str">
        <f t="shared" si="18"/>
        <v>A</v>
      </c>
      <c r="D151" s="146" t="str">
        <f t="shared" si="19"/>
        <v>1</v>
      </c>
      <c r="E151" s="147" t="s">
        <v>440</v>
      </c>
      <c r="F151" s="147" t="s">
        <v>320</v>
      </c>
      <c r="G151" s="147" t="s">
        <v>36</v>
      </c>
      <c r="H151" s="148" t="s">
        <v>279</v>
      </c>
      <c r="I151" s="316">
        <v>20000</v>
      </c>
      <c r="J151" s="170">
        <f t="shared" si="20"/>
        <v>0</v>
      </c>
      <c r="K151" s="168" t="str">
        <f t="shared" si="21"/>
        <v xml:space="preserve"> </v>
      </c>
      <c r="L151" s="147"/>
      <c r="M151" s="147">
        <f>I151</f>
        <v>20000</v>
      </c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32">
        <f t="shared" si="15"/>
        <v>20000</v>
      </c>
      <c r="AE151" s="132">
        <f t="shared" si="16"/>
        <v>20000</v>
      </c>
      <c r="AF151" s="150">
        <f t="shared" si="17"/>
        <v>0</v>
      </c>
    </row>
    <row r="152" spans="1:32" x14ac:dyDescent="0.25">
      <c r="A152" s="315" t="s">
        <v>1197</v>
      </c>
      <c r="B152" s="315" t="s">
        <v>695</v>
      </c>
      <c r="C152" s="169" t="str">
        <f t="shared" si="18"/>
        <v>A</v>
      </c>
      <c r="D152" s="146" t="str">
        <f t="shared" si="19"/>
        <v>1</v>
      </c>
      <c r="E152" s="147" t="s">
        <v>440</v>
      </c>
      <c r="F152" s="147" t="s">
        <v>320</v>
      </c>
      <c r="G152" s="147" t="s">
        <v>36</v>
      </c>
      <c r="H152" s="148" t="s">
        <v>279</v>
      </c>
      <c r="I152" s="316">
        <v>30000</v>
      </c>
      <c r="J152" s="170">
        <f t="shared" si="20"/>
        <v>0</v>
      </c>
      <c r="K152" s="168" t="str">
        <f t="shared" si="21"/>
        <v xml:space="preserve"> </v>
      </c>
      <c r="L152" s="147"/>
      <c r="M152" s="147"/>
      <c r="N152" s="147">
        <f>I152</f>
        <v>30000</v>
      </c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32">
        <f t="shared" si="15"/>
        <v>30000</v>
      </c>
      <c r="AE152" s="132">
        <f t="shared" si="16"/>
        <v>30000</v>
      </c>
      <c r="AF152" s="150">
        <f t="shared" si="17"/>
        <v>0</v>
      </c>
    </row>
    <row r="153" spans="1:32" x14ac:dyDescent="0.25">
      <c r="A153" s="315" t="s">
        <v>1562</v>
      </c>
      <c r="B153" s="317" t="s">
        <v>1173</v>
      </c>
      <c r="C153" s="169" t="str">
        <f t="shared" si="18"/>
        <v>A</v>
      </c>
      <c r="D153" s="146" t="str">
        <f t="shared" si="19"/>
        <v>1</v>
      </c>
      <c r="E153" s="147" t="s">
        <v>440</v>
      </c>
      <c r="F153" s="147" t="s">
        <v>320</v>
      </c>
      <c r="G153" s="147" t="s">
        <v>36</v>
      </c>
      <c r="H153" s="148" t="s">
        <v>279</v>
      </c>
      <c r="I153" s="316">
        <v>30000</v>
      </c>
      <c r="J153" s="170">
        <f t="shared" si="20"/>
        <v>0</v>
      </c>
      <c r="K153" s="168" t="str">
        <f t="shared" si="21"/>
        <v xml:space="preserve"> </v>
      </c>
      <c r="L153" s="147"/>
      <c r="M153" s="147"/>
      <c r="N153" s="147"/>
      <c r="O153" s="147">
        <f>I153</f>
        <v>30000</v>
      </c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32">
        <f t="shared" si="15"/>
        <v>30000</v>
      </c>
      <c r="AE153" s="132">
        <f t="shared" si="16"/>
        <v>30000</v>
      </c>
      <c r="AF153" s="150">
        <f t="shared" si="17"/>
        <v>0</v>
      </c>
    </row>
    <row r="154" spans="1:32" x14ac:dyDescent="0.25">
      <c r="A154" s="315" t="s">
        <v>554</v>
      </c>
      <c r="B154" s="315" t="s">
        <v>1485</v>
      </c>
      <c r="C154" s="169" t="str">
        <f t="shared" si="18"/>
        <v>A</v>
      </c>
      <c r="D154" s="146" t="str">
        <f t="shared" si="19"/>
        <v>1</v>
      </c>
      <c r="E154" s="147" t="s">
        <v>440</v>
      </c>
      <c r="F154" s="147" t="s">
        <v>320</v>
      </c>
      <c r="G154" s="147" t="s">
        <v>36</v>
      </c>
      <c r="H154" s="148" t="s">
        <v>279</v>
      </c>
      <c r="I154" s="316">
        <v>30000</v>
      </c>
      <c r="J154" s="170">
        <f t="shared" si="20"/>
        <v>0</v>
      </c>
      <c r="K154" s="168" t="str">
        <f t="shared" si="21"/>
        <v xml:space="preserve"> </v>
      </c>
      <c r="L154" s="147"/>
      <c r="M154" s="147"/>
      <c r="N154" s="147"/>
      <c r="O154" s="147"/>
      <c r="P154" s="147">
        <f>I154</f>
        <v>30000</v>
      </c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32">
        <f t="shared" si="15"/>
        <v>30000</v>
      </c>
      <c r="AE154" s="132">
        <f t="shared" si="16"/>
        <v>30000</v>
      </c>
      <c r="AF154" s="150">
        <f t="shared" si="17"/>
        <v>0</v>
      </c>
    </row>
    <row r="155" spans="1:32" x14ac:dyDescent="0.25">
      <c r="A155" s="315" t="s">
        <v>866</v>
      </c>
      <c r="B155" s="315" t="s">
        <v>988</v>
      </c>
      <c r="C155" s="169" t="str">
        <f t="shared" si="18"/>
        <v>A</v>
      </c>
      <c r="D155" s="146" t="str">
        <f t="shared" si="19"/>
        <v>1</v>
      </c>
      <c r="E155" s="147" t="s">
        <v>440</v>
      </c>
      <c r="F155" s="147" t="s">
        <v>320</v>
      </c>
      <c r="G155" s="147" t="s">
        <v>36</v>
      </c>
      <c r="H155" s="148" t="s">
        <v>279</v>
      </c>
      <c r="I155" s="316">
        <v>51022</v>
      </c>
      <c r="J155" s="170">
        <f t="shared" si="20"/>
        <v>0</v>
      </c>
      <c r="K155" s="168" t="str">
        <f t="shared" si="21"/>
        <v xml:space="preserve"> </v>
      </c>
      <c r="L155" s="147"/>
      <c r="M155" s="147"/>
      <c r="N155" s="147">
        <f>I155</f>
        <v>51022</v>
      </c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32">
        <f t="shared" si="15"/>
        <v>51022</v>
      </c>
      <c r="AE155" s="132">
        <f t="shared" si="16"/>
        <v>51022</v>
      </c>
      <c r="AF155" s="150">
        <f t="shared" si="17"/>
        <v>0</v>
      </c>
    </row>
    <row r="156" spans="1:32" x14ac:dyDescent="0.25">
      <c r="A156" s="315" t="s">
        <v>1490</v>
      </c>
      <c r="B156" s="315" t="s">
        <v>1407</v>
      </c>
      <c r="C156" s="169" t="str">
        <f t="shared" si="18"/>
        <v>A</v>
      </c>
      <c r="D156" s="146" t="str">
        <f t="shared" si="19"/>
        <v>1</v>
      </c>
      <c r="E156" s="147" t="s">
        <v>440</v>
      </c>
      <c r="F156" s="147" t="s">
        <v>320</v>
      </c>
      <c r="G156" s="147" t="s">
        <v>36</v>
      </c>
      <c r="H156" s="148" t="s">
        <v>279</v>
      </c>
      <c r="I156" s="316">
        <v>4000</v>
      </c>
      <c r="J156" s="170">
        <f t="shared" si="20"/>
        <v>0</v>
      </c>
      <c r="K156" s="168" t="str">
        <f t="shared" si="21"/>
        <v xml:space="preserve"> </v>
      </c>
      <c r="L156" s="147"/>
      <c r="M156" s="147"/>
      <c r="N156" s="147">
        <f>I156</f>
        <v>4000</v>
      </c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32">
        <f t="shared" si="15"/>
        <v>4000</v>
      </c>
      <c r="AE156" s="132">
        <f t="shared" si="16"/>
        <v>4000</v>
      </c>
      <c r="AF156" s="150">
        <f t="shared" si="17"/>
        <v>0</v>
      </c>
    </row>
    <row r="157" spans="1:32" x14ac:dyDescent="0.25">
      <c r="A157" s="315" t="s">
        <v>974</v>
      </c>
      <c r="B157" s="315" t="s">
        <v>1103</v>
      </c>
      <c r="C157" s="169" t="str">
        <f t="shared" si="18"/>
        <v>A</v>
      </c>
      <c r="D157" s="146" t="str">
        <f t="shared" si="19"/>
        <v>1</v>
      </c>
      <c r="E157" s="147" t="s">
        <v>440</v>
      </c>
      <c r="F157" s="147" t="s">
        <v>320</v>
      </c>
      <c r="G157" s="147" t="s">
        <v>36</v>
      </c>
      <c r="H157" s="148" t="s">
        <v>279</v>
      </c>
      <c r="I157" s="316">
        <v>45963</v>
      </c>
      <c r="J157" s="170">
        <f t="shared" si="20"/>
        <v>0</v>
      </c>
      <c r="K157" s="168" t="str">
        <f t="shared" si="21"/>
        <v xml:space="preserve"> </v>
      </c>
      <c r="L157" s="147"/>
      <c r="M157" s="147"/>
      <c r="N157" s="147"/>
      <c r="O157" s="147">
        <f>I157</f>
        <v>45963</v>
      </c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32">
        <f t="shared" si="15"/>
        <v>45963</v>
      </c>
      <c r="AE157" s="132">
        <f t="shared" si="16"/>
        <v>45963</v>
      </c>
      <c r="AF157" s="150">
        <f t="shared" si="17"/>
        <v>0</v>
      </c>
    </row>
    <row r="158" spans="1:32" x14ac:dyDescent="0.25">
      <c r="A158" s="315" t="s">
        <v>792</v>
      </c>
      <c r="B158" s="315" t="s">
        <v>1513</v>
      </c>
      <c r="C158" s="169" t="str">
        <f t="shared" si="18"/>
        <v>A</v>
      </c>
      <c r="D158" s="146" t="str">
        <f t="shared" si="19"/>
        <v>1</v>
      </c>
      <c r="E158" s="147" t="s">
        <v>440</v>
      </c>
      <c r="F158" s="147" t="s">
        <v>320</v>
      </c>
      <c r="G158" s="147" t="s">
        <v>36</v>
      </c>
      <c r="H158" s="148" t="s">
        <v>279</v>
      </c>
      <c r="I158" s="316">
        <v>4000</v>
      </c>
      <c r="J158" s="170">
        <f t="shared" si="20"/>
        <v>0</v>
      </c>
      <c r="K158" s="168" t="str">
        <f t="shared" si="21"/>
        <v xml:space="preserve"> </v>
      </c>
      <c r="L158" s="147"/>
      <c r="M158" s="147"/>
      <c r="N158" s="147"/>
      <c r="O158" s="147">
        <f>I158</f>
        <v>4000</v>
      </c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32">
        <f t="shared" si="15"/>
        <v>4000</v>
      </c>
      <c r="AE158" s="132">
        <f t="shared" si="16"/>
        <v>4000</v>
      </c>
      <c r="AF158" s="150">
        <f t="shared" si="17"/>
        <v>0</v>
      </c>
    </row>
    <row r="159" spans="1:32" x14ac:dyDescent="0.25">
      <c r="A159" s="315" t="s">
        <v>950</v>
      </c>
      <c r="B159" s="315" t="s">
        <v>1334</v>
      </c>
      <c r="C159" s="169" t="str">
        <f t="shared" si="18"/>
        <v>A</v>
      </c>
      <c r="D159" s="146" t="str">
        <f t="shared" si="19"/>
        <v>1</v>
      </c>
      <c r="E159" s="147" t="s">
        <v>440</v>
      </c>
      <c r="F159" s="147" t="s">
        <v>320</v>
      </c>
      <c r="G159" s="147" t="s">
        <v>36</v>
      </c>
      <c r="H159" s="148" t="s">
        <v>279</v>
      </c>
      <c r="I159" s="316">
        <v>51022</v>
      </c>
      <c r="J159" s="170">
        <f t="shared" si="20"/>
        <v>0</v>
      </c>
      <c r="K159" s="168" t="str">
        <f t="shared" si="21"/>
        <v xml:space="preserve"> </v>
      </c>
      <c r="L159" s="147"/>
      <c r="M159" s="147"/>
      <c r="N159" s="147"/>
      <c r="O159" s="147"/>
      <c r="P159" s="147">
        <f>I159</f>
        <v>51022</v>
      </c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32">
        <f t="shared" si="15"/>
        <v>51022</v>
      </c>
      <c r="AE159" s="132">
        <f t="shared" si="16"/>
        <v>51022</v>
      </c>
      <c r="AF159" s="150">
        <f t="shared" si="17"/>
        <v>0</v>
      </c>
    </row>
    <row r="160" spans="1:32" x14ac:dyDescent="0.25">
      <c r="A160" s="315" t="s">
        <v>1454</v>
      </c>
      <c r="B160" s="317" t="s">
        <v>1086</v>
      </c>
      <c r="C160" s="169" t="str">
        <f t="shared" si="18"/>
        <v>A</v>
      </c>
      <c r="D160" s="146" t="str">
        <f t="shared" si="19"/>
        <v>1</v>
      </c>
      <c r="E160" s="147" t="s">
        <v>440</v>
      </c>
      <c r="F160" s="147" t="s">
        <v>320</v>
      </c>
      <c r="G160" s="147" t="s">
        <v>36</v>
      </c>
      <c r="H160" s="148" t="s">
        <v>279</v>
      </c>
      <c r="I160" s="316">
        <v>4000</v>
      </c>
      <c r="J160" s="170">
        <f t="shared" si="20"/>
        <v>0</v>
      </c>
      <c r="K160" s="168" t="str">
        <f t="shared" si="21"/>
        <v xml:space="preserve"> </v>
      </c>
      <c r="L160" s="147"/>
      <c r="M160" s="147"/>
      <c r="N160" s="147"/>
      <c r="O160" s="147"/>
      <c r="P160" s="147">
        <f>I160</f>
        <v>4000</v>
      </c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32">
        <f t="shared" si="15"/>
        <v>4000</v>
      </c>
      <c r="AE160" s="132">
        <f t="shared" si="16"/>
        <v>4000</v>
      </c>
      <c r="AF160" s="150">
        <f t="shared" si="17"/>
        <v>0</v>
      </c>
    </row>
    <row r="161" spans="1:32" x14ac:dyDescent="0.25">
      <c r="A161" s="315" t="s">
        <v>582</v>
      </c>
      <c r="B161" s="315" t="s">
        <v>940</v>
      </c>
      <c r="C161" s="169" t="str">
        <f t="shared" si="18"/>
        <v>A</v>
      </c>
      <c r="D161" s="146" t="str">
        <f t="shared" si="19"/>
        <v>4</v>
      </c>
      <c r="E161" s="147" t="s">
        <v>440</v>
      </c>
      <c r="F161" s="147" t="s">
        <v>323</v>
      </c>
      <c r="G161" s="147" t="s">
        <v>36</v>
      </c>
      <c r="H161" s="148" t="s">
        <v>279</v>
      </c>
      <c r="I161" s="316">
        <v>37277</v>
      </c>
      <c r="J161" s="170">
        <f t="shared" si="20"/>
        <v>0</v>
      </c>
      <c r="K161" s="168" t="str">
        <f t="shared" si="21"/>
        <v xml:space="preserve"> </v>
      </c>
      <c r="L161" s="147">
        <f>(L4/$Q$4)*$I$161</f>
        <v>12736.139598044541</v>
      </c>
      <c r="M161" s="147">
        <f t="shared" ref="M161:P161" si="23">(M4/$Q$4)*$I$161</f>
        <v>9152.2020640955998</v>
      </c>
      <c r="N161" s="147">
        <f t="shared" si="23"/>
        <v>4616.5975013579582</v>
      </c>
      <c r="O161" s="147">
        <f t="shared" si="23"/>
        <v>5217.2951294586273</v>
      </c>
      <c r="P161" s="147">
        <f t="shared" si="23"/>
        <v>5554.7657070432733</v>
      </c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32">
        <f t="shared" si="15"/>
        <v>37277</v>
      </c>
      <c r="AE161" s="132">
        <f t="shared" si="16"/>
        <v>37277</v>
      </c>
      <c r="AF161" s="150">
        <f t="shared" si="17"/>
        <v>0</v>
      </c>
    </row>
    <row r="162" spans="1:32" x14ac:dyDescent="0.25">
      <c r="A162" s="315" t="s">
        <v>1240</v>
      </c>
      <c r="B162" s="315" t="s">
        <v>564</v>
      </c>
      <c r="C162" s="169" t="str">
        <f t="shared" si="18"/>
        <v>A</v>
      </c>
      <c r="D162" s="146" t="str">
        <f t="shared" si="19"/>
        <v>4</v>
      </c>
      <c r="E162" s="147" t="s">
        <v>440</v>
      </c>
      <c r="F162" s="147" t="s">
        <v>323</v>
      </c>
      <c r="G162" s="147" t="s">
        <v>36</v>
      </c>
      <c r="H162" s="148" t="s">
        <v>279</v>
      </c>
      <c r="I162" s="316">
        <v>1200</v>
      </c>
      <c r="J162" s="170">
        <f t="shared" si="20"/>
        <v>0</v>
      </c>
      <c r="K162" s="168" t="str">
        <f t="shared" si="21"/>
        <v xml:space="preserve"> </v>
      </c>
      <c r="L162" s="147">
        <f>I162</f>
        <v>1200</v>
      </c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  <c r="AD162" s="132">
        <f t="shared" si="15"/>
        <v>1200</v>
      </c>
      <c r="AE162" s="132">
        <f t="shared" si="16"/>
        <v>1200</v>
      </c>
      <c r="AF162" s="150">
        <f t="shared" si="17"/>
        <v>0</v>
      </c>
    </row>
    <row r="163" spans="1:32" x14ac:dyDescent="0.25">
      <c r="A163" s="315" t="s">
        <v>1677</v>
      </c>
      <c r="B163" s="315" t="s">
        <v>738</v>
      </c>
      <c r="C163" s="169" t="str">
        <f t="shared" si="18"/>
        <v>A</v>
      </c>
      <c r="D163" s="146" t="str">
        <f t="shared" si="19"/>
        <v>4</v>
      </c>
      <c r="E163" s="147" t="s">
        <v>440</v>
      </c>
      <c r="F163" s="147" t="s">
        <v>323</v>
      </c>
      <c r="G163" s="147" t="s">
        <v>36</v>
      </c>
      <c r="H163" s="148" t="s">
        <v>279</v>
      </c>
      <c r="I163" s="316">
        <v>1120</v>
      </c>
      <c r="J163" s="170">
        <f t="shared" si="20"/>
        <v>0</v>
      </c>
      <c r="K163" s="168" t="str">
        <f t="shared" si="21"/>
        <v xml:space="preserve"> </v>
      </c>
      <c r="L163" s="147">
        <f>I163</f>
        <v>1120</v>
      </c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32">
        <f t="shared" si="15"/>
        <v>1120</v>
      </c>
      <c r="AE163" s="132">
        <f t="shared" si="16"/>
        <v>1120</v>
      </c>
      <c r="AF163" s="150">
        <f t="shared" si="17"/>
        <v>0</v>
      </c>
    </row>
    <row r="164" spans="1:32" x14ac:dyDescent="0.25">
      <c r="A164" s="315" t="s">
        <v>1245</v>
      </c>
      <c r="B164" s="315" t="s">
        <v>908</v>
      </c>
      <c r="C164" s="169" t="str">
        <f t="shared" si="18"/>
        <v>A</v>
      </c>
      <c r="D164" s="146" t="str">
        <f t="shared" si="19"/>
        <v>4</v>
      </c>
      <c r="E164" s="147" t="s">
        <v>440</v>
      </c>
      <c r="F164" s="147" t="s">
        <v>323</v>
      </c>
      <c r="G164" s="147" t="s">
        <v>36</v>
      </c>
      <c r="H164" s="148" t="s">
        <v>279</v>
      </c>
      <c r="I164" s="316">
        <v>2800</v>
      </c>
      <c r="J164" s="170">
        <f t="shared" si="20"/>
        <v>0</v>
      </c>
      <c r="K164" s="168" t="str">
        <f t="shared" si="21"/>
        <v xml:space="preserve"> </v>
      </c>
      <c r="L164" s="147"/>
      <c r="M164" s="147">
        <f>I164</f>
        <v>2800</v>
      </c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32">
        <f t="shared" si="15"/>
        <v>2800</v>
      </c>
      <c r="AE164" s="132">
        <f t="shared" si="16"/>
        <v>2800</v>
      </c>
      <c r="AF164" s="150">
        <f t="shared" si="17"/>
        <v>0</v>
      </c>
    </row>
    <row r="165" spans="1:32" x14ac:dyDescent="0.25">
      <c r="A165" s="315" t="s">
        <v>1472</v>
      </c>
      <c r="B165" s="315" t="s">
        <v>623</v>
      </c>
      <c r="C165" s="169" t="str">
        <f t="shared" si="18"/>
        <v>A</v>
      </c>
      <c r="D165" s="146" t="str">
        <f t="shared" si="19"/>
        <v>4</v>
      </c>
      <c r="E165" s="147" t="s">
        <v>440</v>
      </c>
      <c r="F165" s="147" t="s">
        <v>323</v>
      </c>
      <c r="G165" s="147" t="s">
        <v>36</v>
      </c>
      <c r="H165" s="148" t="s">
        <v>279</v>
      </c>
      <c r="I165" s="316">
        <v>400</v>
      </c>
      <c r="J165" s="170">
        <f t="shared" si="20"/>
        <v>0</v>
      </c>
      <c r="K165" s="168" t="str">
        <f t="shared" si="21"/>
        <v xml:space="preserve"> </v>
      </c>
      <c r="L165" s="147"/>
      <c r="M165" s="147"/>
      <c r="N165" s="147"/>
      <c r="O165" s="147">
        <f>I165</f>
        <v>400</v>
      </c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32">
        <f t="shared" si="15"/>
        <v>400</v>
      </c>
      <c r="AE165" s="132">
        <f t="shared" si="16"/>
        <v>400</v>
      </c>
      <c r="AF165" s="150">
        <f t="shared" si="17"/>
        <v>0</v>
      </c>
    </row>
    <row r="166" spans="1:32" x14ac:dyDescent="0.25">
      <c r="A166" s="315" t="s">
        <v>1183</v>
      </c>
      <c r="B166" s="315" t="s">
        <v>1550</v>
      </c>
      <c r="C166" s="169" t="str">
        <f t="shared" si="18"/>
        <v>A</v>
      </c>
      <c r="D166" s="146" t="str">
        <f t="shared" si="19"/>
        <v>4</v>
      </c>
      <c r="E166" s="147" t="s">
        <v>440</v>
      </c>
      <c r="F166" s="147" t="s">
        <v>323</v>
      </c>
      <c r="G166" s="147" t="s">
        <v>36</v>
      </c>
      <c r="H166" s="148" t="s">
        <v>279</v>
      </c>
      <c r="I166" s="316">
        <v>5600</v>
      </c>
      <c r="J166" s="170">
        <f t="shared" si="20"/>
        <v>0</v>
      </c>
      <c r="K166" s="168" t="str">
        <f t="shared" si="21"/>
        <v xml:space="preserve"> </v>
      </c>
      <c r="L166" s="147">
        <f>(L4/$Q$4)*$I$166</f>
        <v>1913.3079847908746</v>
      </c>
      <c r="M166" s="147">
        <f t="shared" ref="M166:P166" si="24">(M4/$Q$4)*$I$166</f>
        <v>1374.9049429657796</v>
      </c>
      <c r="N166" s="147">
        <f t="shared" si="24"/>
        <v>693.53612167300389</v>
      </c>
      <c r="O166" s="147">
        <f t="shared" si="24"/>
        <v>783.77693282636255</v>
      </c>
      <c r="P166" s="147">
        <f t="shared" si="24"/>
        <v>834.47401774397974</v>
      </c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32">
        <f t="shared" si="15"/>
        <v>5600</v>
      </c>
      <c r="AE166" s="132">
        <f t="shared" si="16"/>
        <v>5600</v>
      </c>
      <c r="AF166" s="150">
        <f t="shared" si="17"/>
        <v>0</v>
      </c>
    </row>
    <row r="167" spans="1:32" x14ac:dyDescent="0.25">
      <c r="A167" s="315" t="s">
        <v>1532</v>
      </c>
      <c r="B167" s="315" t="s">
        <v>1246</v>
      </c>
      <c r="C167" s="169" t="str">
        <f t="shared" si="18"/>
        <v>A</v>
      </c>
      <c r="D167" s="146" t="str">
        <f t="shared" si="19"/>
        <v>4</v>
      </c>
      <c r="E167" s="147" t="s">
        <v>440</v>
      </c>
      <c r="F167" s="147" t="s">
        <v>323</v>
      </c>
      <c r="G167" s="147" t="s">
        <v>36</v>
      </c>
      <c r="H167" s="148" t="s">
        <v>279</v>
      </c>
      <c r="I167" s="316">
        <v>800</v>
      </c>
      <c r="J167" s="170">
        <f t="shared" si="20"/>
        <v>0</v>
      </c>
      <c r="K167" s="168" t="str">
        <f t="shared" si="21"/>
        <v xml:space="preserve"> </v>
      </c>
      <c r="L167" s="147">
        <f>I167</f>
        <v>800</v>
      </c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32">
        <f t="shared" si="15"/>
        <v>800</v>
      </c>
      <c r="AE167" s="132">
        <f t="shared" si="16"/>
        <v>800</v>
      </c>
      <c r="AF167" s="150">
        <f t="shared" si="17"/>
        <v>0</v>
      </c>
    </row>
    <row r="168" spans="1:32" x14ac:dyDescent="0.25">
      <c r="A168" s="315" t="s">
        <v>1725</v>
      </c>
      <c r="B168" s="315" t="s">
        <v>1447</v>
      </c>
      <c r="C168" s="169" t="str">
        <f t="shared" si="18"/>
        <v>A</v>
      </c>
      <c r="D168" s="146" t="str">
        <f t="shared" si="19"/>
        <v>4</v>
      </c>
      <c r="E168" s="147" t="s">
        <v>440</v>
      </c>
      <c r="F168" s="147" t="s">
        <v>323</v>
      </c>
      <c r="G168" s="147" t="s">
        <v>36</v>
      </c>
      <c r="H168" s="148" t="s">
        <v>279</v>
      </c>
      <c r="I168" s="316">
        <v>1600</v>
      </c>
      <c r="J168" s="170">
        <f t="shared" si="20"/>
        <v>0</v>
      </c>
      <c r="K168" s="168" t="str">
        <f t="shared" si="21"/>
        <v xml:space="preserve"> </v>
      </c>
      <c r="L168" s="147"/>
      <c r="M168" s="147">
        <f>I168</f>
        <v>1600</v>
      </c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32">
        <f t="shared" si="15"/>
        <v>1600</v>
      </c>
      <c r="AE168" s="132">
        <f t="shared" si="16"/>
        <v>1600</v>
      </c>
      <c r="AF168" s="150">
        <f t="shared" si="17"/>
        <v>0</v>
      </c>
    </row>
    <row r="169" spans="1:32" x14ac:dyDescent="0.25">
      <c r="A169" s="315" t="s">
        <v>1448</v>
      </c>
      <c r="B169" s="315" t="s">
        <v>608</v>
      </c>
      <c r="C169" s="169" t="str">
        <f t="shared" si="18"/>
        <v>A</v>
      </c>
      <c r="D169" s="146" t="str">
        <f t="shared" si="19"/>
        <v>4</v>
      </c>
      <c r="E169" s="147" t="s">
        <v>440</v>
      </c>
      <c r="F169" s="147" t="s">
        <v>323</v>
      </c>
      <c r="G169" s="147" t="s">
        <v>36</v>
      </c>
      <c r="H169" s="148" t="s">
        <v>279</v>
      </c>
      <c r="I169" s="316">
        <v>5200</v>
      </c>
      <c r="J169" s="170">
        <f t="shared" si="20"/>
        <v>0</v>
      </c>
      <c r="K169" s="168" t="str">
        <f t="shared" si="21"/>
        <v xml:space="preserve"> </v>
      </c>
      <c r="L169" s="147"/>
      <c r="M169" s="147"/>
      <c r="N169" s="147">
        <f>I169</f>
        <v>5200</v>
      </c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32">
        <f t="shared" si="15"/>
        <v>5200</v>
      </c>
      <c r="AE169" s="132">
        <f t="shared" si="16"/>
        <v>5200</v>
      </c>
      <c r="AF169" s="150">
        <f t="shared" si="17"/>
        <v>0</v>
      </c>
    </row>
    <row r="170" spans="1:32" x14ac:dyDescent="0.25">
      <c r="A170" s="315" t="s">
        <v>620</v>
      </c>
      <c r="B170" s="315" t="s">
        <v>1134</v>
      </c>
      <c r="C170" s="169" t="str">
        <f t="shared" si="18"/>
        <v>A</v>
      </c>
      <c r="D170" s="146" t="str">
        <f t="shared" si="19"/>
        <v>4</v>
      </c>
      <c r="E170" s="147" t="s">
        <v>440</v>
      </c>
      <c r="F170" s="147" t="s">
        <v>323</v>
      </c>
      <c r="G170" s="147" t="s">
        <v>36</v>
      </c>
      <c r="H170" s="148" t="s">
        <v>279</v>
      </c>
      <c r="I170" s="316">
        <v>2880</v>
      </c>
      <c r="J170" s="170">
        <f t="shared" si="20"/>
        <v>0</v>
      </c>
      <c r="K170" s="168" t="str">
        <f t="shared" si="21"/>
        <v xml:space="preserve"> </v>
      </c>
      <c r="L170" s="147"/>
      <c r="M170" s="147"/>
      <c r="N170" s="147"/>
      <c r="O170" s="147">
        <f>I170</f>
        <v>2880</v>
      </c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32">
        <f t="shared" si="15"/>
        <v>2880</v>
      </c>
      <c r="AE170" s="132">
        <f t="shared" si="16"/>
        <v>2880</v>
      </c>
      <c r="AF170" s="150">
        <f t="shared" si="17"/>
        <v>0</v>
      </c>
    </row>
    <row r="171" spans="1:32" x14ac:dyDescent="0.25">
      <c r="A171" s="315" t="s">
        <v>1167</v>
      </c>
      <c r="B171" s="315" t="s">
        <v>1182</v>
      </c>
      <c r="C171" s="169" t="str">
        <f t="shared" si="18"/>
        <v>A</v>
      </c>
      <c r="D171" s="146" t="str">
        <f t="shared" si="19"/>
        <v>4</v>
      </c>
      <c r="E171" s="147" t="s">
        <v>440</v>
      </c>
      <c r="F171" s="147" t="s">
        <v>323</v>
      </c>
      <c r="G171" s="147" t="s">
        <v>36</v>
      </c>
      <c r="H171" s="148" t="s">
        <v>279</v>
      </c>
      <c r="I171" s="316">
        <v>5600</v>
      </c>
      <c r="J171" s="170">
        <f t="shared" si="20"/>
        <v>0</v>
      </c>
      <c r="K171" s="168" t="str">
        <f t="shared" si="21"/>
        <v xml:space="preserve"> </v>
      </c>
      <c r="L171" s="147"/>
      <c r="M171" s="147"/>
      <c r="N171" s="147"/>
      <c r="O171" s="147"/>
      <c r="P171" s="147">
        <f>I171</f>
        <v>5600</v>
      </c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32">
        <f t="shared" si="15"/>
        <v>5600</v>
      </c>
      <c r="AE171" s="132">
        <f t="shared" si="16"/>
        <v>5600</v>
      </c>
      <c r="AF171" s="150">
        <f t="shared" si="17"/>
        <v>0</v>
      </c>
    </row>
    <row r="172" spans="1:32" x14ac:dyDescent="0.25">
      <c r="A172" s="315" t="s">
        <v>1678</v>
      </c>
      <c r="B172" s="315" t="s">
        <v>588</v>
      </c>
      <c r="C172" s="169" t="str">
        <f t="shared" si="18"/>
        <v>A</v>
      </c>
      <c r="D172" s="146" t="str">
        <f t="shared" si="19"/>
        <v>4</v>
      </c>
      <c r="E172" s="147" t="s">
        <v>18</v>
      </c>
      <c r="F172" s="147"/>
      <c r="G172" s="147"/>
      <c r="H172" s="148" t="s">
        <v>279</v>
      </c>
      <c r="I172" s="316">
        <v>18732</v>
      </c>
      <c r="J172" s="170">
        <f t="shared" si="20"/>
        <v>0</v>
      </c>
      <c r="K172" s="168">
        <f t="shared" si="21"/>
        <v>18732</v>
      </c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32">
        <f t="shared" si="15"/>
        <v>0</v>
      </c>
      <c r="AE172" s="132">
        <f t="shared" si="16"/>
        <v>18732</v>
      </c>
      <c r="AF172" s="150">
        <f t="shared" si="17"/>
        <v>0</v>
      </c>
    </row>
    <row r="173" spans="1:32" x14ac:dyDescent="0.25">
      <c r="A173" s="315" t="s">
        <v>1436</v>
      </c>
      <c r="B173" s="315" t="s">
        <v>1096</v>
      </c>
      <c r="C173" s="169" t="str">
        <f t="shared" si="18"/>
        <v>A</v>
      </c>
      <c r="D173" s="146" t="str">
        <f t="shared" si="19"/>
        <v>4</v>
      </c>
      <c r="E173" s="147" t="s">
        <v>19</v>
      </c>
      <c r="F173" s="147"/>
      <c r="G173" s="147"/>
      <c r="H173" s="148" t="s">
        <v>279</v>
      </c>
      <c r="I173" s="316">
        <v>2400</v>
      </c>
      <c r="J173" s="170">
        <f t="shared" si="20"/>
        <v>0</v>
      </c>
      <c r="K173" s="168">
        <f t="shared" si="21"/>
        <v>2400</v>
      </c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32">
        <f t="shared" si="15"/>
        <v>0</v>
      </c>
      <c r="AE173" s="132">
        <f t="shared" si="16"/>
        <v>2400</v>
      </c>
      <c r="AF173" s="150">
        <f t="shared" si="17"/>
        <v>0</v>
      </c>
    </row>
    <row r="174" spans="1:32" x14ac:dyDescent="0.25">
      <c r="A174" s="315" t="s">
        <v>1402</v>
      </c>
      <c r="B174" s="315" t="s">
        <v>902</v>
      </c>
      <c r="C174" s="169" t="str">
        <f t="shared" si="18"/>
        <v>A</v>
      </c>
      <c r="D174" s="146" t="str">
        <f t="shared" si="19"/>
        <v>4</v>
      </c>
      <c r="E174" s="147" t="s">
        <v>19</v>
      </c>
      <c r="F174" s="147"/>
      <c r="G174" s="147"/>
      <c r="H174" s="148" t="s">
        <v>279</v>
      </c>
      <c r="I174" s="316">
        <v>240</v>
      </c>
      <c r="J174" s="170">
        <f t="shared" si="20"/>
        <v>0</v>
      </c>
      <c r="K174" s="168">
        <f t="shared" si="21"/>
        <v>240</v>
      </c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32">
        <f t="shared" si="15"/>
        <v>0</v>
      </c>
      <c r="AE174" s="132">
        <f t="shared" si="16"/>
        <v>240</v>
      </c>
      <c r="AF174" s="150">
        <f t="shared" si="17"/>
        <v>0</v>
      </c>
    </row>
    <row r="175" spans="1:32" x14ac:dyDescent="0.25">
      <c r="A175" s="315" t="s">
        <v>681</v>
      </c>
      <c r="B175" s="315" t="s">
        <v>979</v>
      </c>
      <c r="C175" s="169" t="str">
        <f t="shared" si="18"/>
        <v>A</v>
      </c>
      <c r="D175" s="146" t="str">
        <f t="shared" si="19"/>
        <v>4</v>
      </c>
      <c r="E175" s="147" t="s">
        <v>19</v>
      </c>
      <c r="F175" s="147"/>
      <c r="G175" s="147"/>
      <c r="H175" s="148" t="s">
        <v>279</v>
      </c>
      <c r="I175" s="316">
        <v>2160</v>
      </c>
      <c r="J175" s="170">
        <f t="shared" si="20"/>
        <v>0</v>
      </c>
      <c r="K175" s="168">
        <f t="shared" si="21"/>
        <v>2160</v>
      </c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32">
        <f t="shared" si="15"/>
        <v>0</v>
      </c>
      <c r="AE175" s="132">
        <f t="shared" si="16"/>
        <v>2160</v>
      </c>
      <c r="AF175" s="150">
        <f t="shared" si="17"/>
        <v>0</v>
      </c>
    </row>
    <row r="176" spans="1:32" x14ac:dyDescent="0.25">
      <c r="A176" s="315" t="s">
        <v>1200</v>
      </c>
      <c r="B176" s="315" t="s">
        <v>1533</v>
      </c>
      <c r="C176" s="169" t="str">
        <f t="shared" si="18"/>
        <v>A</v>
      </c>
      <c r="D176" s="146" t="str">
        <f t="shared" si="19"/>
        <v>4</v>
      </c>
      <c r="E176" s="147" t="s">
        <v>19</v>
      </c>
      <c r="F176" s="147"/>
      <c r="G176" s="147"/>
      <c r="H176" s="148" t="s">
        <v>279</v>
      </c>
      <c r="I176" s="316">
        <v>2400</v>
      </c>
      <c r="J176" s="170">
        <f t="shared" si="20"/>
        <v>0</v>
      </c>
      <c r="K176" s="168">
        <f t="shared" si="21"/>
        <v>2400</v>
      </c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32">
        <f t="shared" si="15"/>
        <v>0</v>
      </c>
      <c r="AE176" s="132">
        <f t="shared" si="16"/>
        <v>2400</v>
      </c>
      <c r="AF176" s="150">
        <f t="shared" si="17"/>
        <v>0</v>
      </c>
    </row>
    <row r="177" spans="1:32" x14ac:dyDescent="0.25">
      <c r="A177" s="315" t="s">
        <v>573</v>
      </c>
      <c r="B177" s="315" t="s">
        <v>686</v>
      </c>
      <c r="C177" s="169" t="str">
        <f t="shared" si="18"/>
        <v>A</v>
      </c>
      <c r="D177" s="146" t="str">
        <f t="shared" si="19"/>
        <v>4</v>
      </c>
      <c r="E177" s="147" t="s">
        <v>19</v>
      </c>
      <c r="F177" s="147"/>
      <c r="G177" s="147"/>
      <c r="H177" s="148" t="s">
        <v>279</v>
      </c>
      <c r="I177" s="316">
        <v>2400</v>
      </c>
      <c r="J177" s="170">
        <f t="shared" si="20"/>
        <v>0</v>
      </c>
      <c r="K177" s="168">
        <f t="shared" si="21"/>
        <v>2400</v>
      </c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32">
        <f t="shared" si="15"/>
        <v>0</v>
      </c>
      <c r="AE177" s="132">
        <f t="shared" si="16"/>
        <v>2400</v>
      </c>
      <c r="AF177" s="150">
        <f t="shared" si="17"/>
        <v>0</v>
      </c>
    </row>
    <row r="178" spans="1:32" x14ac:dyDescent="0.25">
      <c r="A178" s="315" t="s">
        <v>1455</v>
      </c>
      <c r="B178" s="315" t="s">
        <v>870</v>
      </c>
      <c r="C178" s="169" t="str">
        <f t="shared" si="18"/>
        <v>A</v>
      </c>
      <c r="D178" s="146" t="str">
        <f t="shared" si="19"/>
        <v>4</v>
      </c>
      <c r="E178" s="147" t="s">
        <v>19</v>
      </c>
      <c r="F178" s="147"/>
      <c r="G178" s="147"/>
      <c r="H178" s="148" t="s">
        <v>279</v>
      </c>
      <c r="I178" s="316">
        <v>568</v>
      </c>
      <c r="J178" s="170">
        <f t="shared" si="20"/>
        <v>0</v>
      </c>
      <c r="K178" s="168">
        <f t="shared" si="21"/>
        <v>568</v>
      </c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32">
        <f t="shared" si="15"/>
        <v>0</v>
      </c>
      <c r="AE178" s="132">
        <f t="shared" si="16"/>
        <v>568</v>
      </c>
      <c r="AF178" s="150">
        <f t="shared" si="17"/>
        <v>0</v>
      </c>
    </row>
    <row r="179" spans="1:32" x14ac:dyDescent="0.25">
      <c r="A179" s="315" t="s">
        <v>1348</v>
      </c>
      <c r="B179" s="315" t="s">
        <v>932</v>
      </c>
      <c r="C179" s="169" t="str">
        <f t="shared" si="18"/>
        <v>A</v>
      </c>
      <c r="D179" s="146" t="str">
        <f t="shared" si="19"/>
        <v>4</v>
      </c>
      <c r="E179" s="147" t="s">
        <v>19</v>
      </c>
      <c r="F179" s="147"/>
      <c r="G179" s="147"/>
      <c r="H179" s="148" t="s">
        <v>279</v>
      </c>
      <c r="I179" s="316">
        <v>44878</v>
      </c>
      <c r="J179" s="170">
        <f t="shared" si="20"/>
        <v>0</v>
      </c>
      <c r="K179" s="168">
        <f t="shared" si="21"/>
        <v>44878</v>
      </c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32">
        <f t="shared" si="15"/>
        <v>0</v>
      </c>
      <c r="AE179" s="132">
        <f t="shared" si="16"/>
        <v>44878</v>
      </c>
      <c r="AF179" s="150">
        <f t="shared" si="17"/>
        <v>0</v>
      </c>
    </row>
    <row r="180" spans="1:32" x14ac:dyDescent="0.25">
      <c r="A180" s="315" t="s">
        <v>1196</v>
      </c>
      <c r="B180" s="315" t="s">
        <v>1290</v>
      </c>
      <c r="C180" s="169" t="str">
        <f t="shared" si="18"/>
        <v>A</v>
      </c>
      <c r="D180" s="146" t="str">
        <f t="shared" si="19"/>
        <v>1</v>
      </c>
      <c r="E180" s="147" t="s">
        <v>440</v>
      </c>
      <c r="F180" s="147" t="s">
        <v>319</v>
      </c>
      <c r="G180" s="147" t="s">
        <v>325</v>
      </c>
      <c r="H180" s="148" t="s">
        <v>279</v>
      </c>
      <c r="I180" s="316">
        <v>239259</v>
      </c>
      <c r="J180" s="170">
        <f t="shared" si="20"/>
        <v>0</v>
      </c>
      <c r="K180" s="168" t="str">
        <f t="shared" si="21"/>
        <v xml:space="preserve"> </v>
      </c>
      <c r="L180" s="147"/>
      <c r="M180" s="147"/>
      <c r="N180" s="147">
        <f>I180</f>
        <v>239259</v>
      </c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32">
        <f t="shared" si="15"/>
        <v>239259</v>
      </c>
      <c r="AE180" s="132">
        <f t="shared" si="16"/>
        <v>239259</v>
      </c>
      <c r="AF180" s="150">
        <f t="shared" si="17"/>
        <v>0</v>
      </c>
    </row>
    <row r="181" spans="1:32" x14ac:dyDescent="0.25">
      <c r="A181" s="315" t="s">
        <v>676</v>
      </c>
      <c r="B181" s="315" t="s">
        <v>811</v>
      </c>
      <c r="C181" s="169" t="str">
        <f t="shared" si="18"/>
        <v>A</v>
      </c>
      <c r="D181" s="146" t="str">
        <f t="shared" si="19"/>
        <v>1</v>
      </c>
      <c r="E181" s="147" t="s">
        <v>440</v>
      </c>
      <c r="F181" s="147" t="s">
        <v>319</v>
      </c>
      <c r="G181" s="147" t="s">
        <v>325</v>
      </c>
      <c r="H181" s="148" t="s">
        <v>279</v>
      </c>
      <c r="I181" s="316">
        <v>356533</v>
      </c>
      <c r="J181" s="170">
        <f t="shared" si="20"/>
        <v>0</v>
      </c>
      <c r="K181" s="168" t="str">
        <f t="shared" si="21"/>
        <v xml:space="preserve"> </v>
      </c>
      <c r="L181" s="147"/>
      <c r="M181" s="147"/>
      <c r="N181" s="147"/>
      <c r="O181" s="147">
        <f>I181</f>
        <v>356533</v>
      </c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32">
        <f t="shared" si="15"/>
        <v>356533</v>
      </c>
      <c r="AE181" s="132">
        <f t="shared" si="16"/>
        <v>356533</v>
      </c>
      <c r="AF181" s="150">
        <f t="shared" si="17"/>
        <v>0</v>
      </c>
    </row>
    <row r="182" spans="1:32" x14ac:dyDescent="0.25">
      <c r="A182" s="315" t="s">
        <v>1282</v>
      </c>
      <c r="B182" s="315" t="s">
        <v>576</v>
      </c>
      <c r="C182" s="169" t="str">
        <f t="shared" si="18"/>
        <v>A</v>
      </c>
      <c r="D182" s="146" t="str">
        <f t="shared" si="19"/>
        <v>1</v>
      </c>
      <c r="E182" s="147" t="s">
        <v>440</v>
      </c>
      <c r="F182" s="147" t="s">
        <v>319</v>
      </c>
      <c r="G182" s="147" t="s">
        <v>325</v>
      </c>
      <c r="H182" s="148" t="s">
        <v>279</v>
      </c>
      <c r="I182" s="316">
        <v>249134</v>
      </c>
      <c r="J182" s="170">
        <f t="shared" si="20"/>
        <v>0</v>
      </c>
      <c r="K182" s="168" t="str">
        <f t="shared" si="21"/>
        <v xml:space="preserve"> </v>
      </c>
      <c r="L182" s="147"/>
      <c r="M182" s="147"/>
      <c r="N182" s="147"/>
      <c r="O182" s="147"/>
      <c r="P182" s="147">
        <f>I182</f>
        <v>249134</v>
      </c>
      <c r="Q182" s="147"/>
      <c r="R182" s="147"/>
      <c r="S182" s="147"/>
      <c r="T182" s="147"/>
      <c r="U182" s="147"/>
      <c r="V182" s="147"/>
      <c r="W182" s="147"/>
      <c r="X182" s="147"/>
      <c r="Y182" s="147"/>
      <c r="Z182" s="147"/>
      <c r="AA182" s="147"/>
      <c r="AB182" s="147"/>
      <c r="AC182" s="147"/>
      <c r="AD182" s="132">
        <f t="shared" si="15"/>
        <v>249134</v>
      </c>
      <c r="AE182" s="132">
        <f t="shared" si="16"/>
        <v>249134</v>
      </c>
      <c r="AF182" s="150">
        <f t="shared" si="17"/>
        <v>0</v>
      </c>
    </row>
    <row r="183" spans="1:32" x14ac:dyDescent="0.25">
      <c r="A183" s="315" t="s">
        <v>1427</v>
      </c>
      <c r="B183" s="315" t="s">
        <v>1744</v>
      </c>
      <c r="C183" s="169" t="str">
        <f t="shared" si="18"/>
        <v>A</v>
      </c>
      <c r="D183" s="146" t="str">
        <f t="shared" si="19"/>
        <v>1</v>
      </c>
      <c r="E183" s="147" t="s">
        <v>440</v>
      </c>
      <c r="F183" s="147" t="s">
        <v>319</v>
      </c>
      <c r="G183" s="147" t="s">
        <v>325</v>
      </c>
      <c r="H183" s="148" t="s">
        <v>279</v>
      </c>
      <c r="I183" s="316">
        <v>1000</v>
      </c>
      <c r="J183" s="170">
        <f t="shared" si="20"/>
        <v>0</v>
      </c>
      <c r="K183" s="168" t="str">
        <f t="shared" si="21"/>
        <v xml:space="preserve"> </v>
      </c>
      <c r="L183" s="147"/>
      <c r="M183" s="147"/>
      <c r="N183" s="147">
        <f>I183</f>
        <v>1000</v>
      </c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  <c r="AD183" s="132">
        <f t="shared" si="15"/>
        <v>1000</v>
      </c>
      <c r="AE183" s="132">
        <f t="shared" si="16"/>
        <v>1000</v>
      </c>
      <c r="AF183" s="150">
        <f t="shared" si="17"/>
        <v>0</v>
      </c>
    </row>
    <row r="184" spans="1:32" x14ac:dyDescent="0.25">
      <c r="A184" s="315" t="s">
        <v>596</v>
      </c>
      <c r="B184" s="315" t="s">
        <v>891</v>
      </c>
      <c r="C184" s="169" t="str">
        <f t="shared" si="18"/>
        <v>A</v>
      </c>
      <c r="D184" s="146" t="str">
        <f t="shared" si="19"/>
        <v>1</v>
      </c>
      <c r="E184" s="147" t="s">
        <v>440</v>
      </c>
      <c r="F184" s="147" t="s">
        <v>319</v>
      </c>
      <c r="G184" s="147" t="s">
        <v>325</v>
      </c>
      <c r="H184" s="148" t="s">
        <v>279</v>
      </c>
      <c r="I184" s="316">
        <v>1000</v>
      </c>
      <c r="J184" s="170">
        <f t="shared" si="20"/>
        <v>0</v>
      </c>
      <c r="K184" s="168" t="str">
        <f t="shared" si="21"/>
        <v xml:space="preserve"> </v>
      </c>
      <c r="L184" s="147"/>
      <c r="M184" s="147"/>
      <c r="N184" s="147"/>
      <c r="O184" s="147">
        <f>I184</f>
        <v>1000</v>
      </c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  <c r="AA184" s="147"/>
      <c r="AB184" s="147"/>
      <c r="AC184" s="147"/>
      <c r="AD184" s="132">
        <f t="shared" si="15"/>
        <v>1000</v>
      </c>
      <c r="AE184" s="132">
        <f t="shared" si="16"/>
        <v>1000</v>
      </c>
      <c r="AF184" s="150">
        <f t="shared" si="17"/>
        <v>0</v>
      </c>
    </row>
    <row r="185" spans="1:32" x14ac:dyDescent="0.25">
      <c r="A185" s="315" t="s">
        <v>1412</v>
      </c>
      <c r="B185" s="315" t="s">
        <v>1625</v>
      </c>
      <c r="C185" s="169" t="str">
        <f t="shared" si="18"/>
        <v>A</v>
      </c>
      <c r="D185" s="146" t="str">
        <f t="shared" si="19"/>
        <v>1</v>
      </c>
      <c r="E185" s="147" t="s">
        <v>440</v>
      </c>
      <c r="F185" s="147" t="s">
        <v>319</v>
      </c>
      <c r="G185" s="147" t="s">
        <v>325</v>
      </c>
      <c r="H185" s="148" t="s">
        <v>279</v>
      </c>
      <c r="I185" s="316">
        <v>1000</v>
      </c>
      <c r="J185" s="170">
        <f t="shared" si="20"/>
        <v>0</v>
      </c>
      <c r="K185" s="168" t="str">
        <f t="shared" si="21"/>
        <v xml:space="preserve"> </v>
      </c>
      <c r="L185" s="147"/>
      <c r="M185" s="147"/>
      <c r="N185" s="147"/>
      <c r="O185" s="147"/>
      <c r="P185" s="147">
        <f>I185</f>
        <v>1000</v>
      </c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32">
        <f t="shared" si="15"/>
        <v>1000</v>
      </c>
      <c r="AE185" s="132">
        <f t="shared" si="16"/>
        <v>1000</v>
      </c>
      <c r="AF185" s="150">
        <f t="shared" si="17"/>
        <v>0</v>
      </c>
    </row>
    <row r="186" spans="1:32" x14ac:dyDescent="0.25">
      <c r="A186" s="315" t="s">
        <v>472</v>
      </c>
      <c r="B186" s="315" t="s">
        <v>840</v>
      </c>
      <c r="C186" s="169" t="str">
        <f t="shared" si="18"/>
        <v>A</v>
      </c>
      <c r="D186" s="146" t="str">
        <f t="shared" si="19"/>
        <v>1</v>
      </c>
      <c r="E186" s="147" t="s">
        <v>440</v>
      </c>
      <c r="F186" s="147" t="s">
        <v>319</v>
      </c>
      <c r="G186" s="147" t="s">
        <v>325</v>
      </c>
      <c r="H186" s="148" t="s">
        <v>279</v>
      </c>
      <c r="I186" s="316">
        <v>1923179</v>
      </c>
      <c r="J186" s="170">
        <f t="shared" si="20"/>
        <v>0</v>
      </c>
      <c r="K186" s="168" t="str">
        <f t="shared" si="21"/>
        <v xml:space="preserve"> </v>
      </c>
      <c r="L186" s="147"/>
      <c r="M186" s="147"/>
      <c r="N186" s="147">
        <f>I186</f>
        <v>1923179</v>
      </c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32">
        <f t="shared" si="15"/>
        <v>1923179</v>
      </c>
      <c r="AE186" s="132">
        <f t="shared" si="16"/>
        <v>1923179</v>
      </c>
      <c r="AF186" s="150">
        <f t="shared" si="17"/>
        <v>0</v>
      </c>
    </row>
    <row r="187" spans="1:32" x14ac:dyDescent="0.25">
      <c r="A187" s="315" t="s">
        <v>1170</v>
      </c>
      <c r="B187" s="315" t="s">
        <v>670</v>
      </c>
      <c r="C187" s="169" t="str">
        <f t="shared" si="18"/>
        <v>A</v>
      </c>
      <c r="D187" s="146" t="str">
        <f t="shared" si="19"/>
        <v>1</v>
      </c>
      <c r="E187" s="147" t="s">
        <v>440</v>
      </c>
      <c r="F187" s="147" t="s">
        <v>319</v>
      </c>
      <c r="G187" s="147" t="s">
        <v>325</v>
      </c>
      <c r="H187" s="148" t="s">
        <v>279</v>
      </c>
      <c r="I187" s="316">
        <v>1000</v>
      </c>
      <c r="J187" s="170">
        <f t="shared" si="20"/>
        <v>0</v>
      </c>
      <c r="K187" s="168" t="str">
        <f t="shared" si="21"/>
        <v xml:space="preserve"> </v>
      </c>
      <c r="L187" s="147"/>
      <c r="M187" s="147"/>
      <c r="N187" s="147">
        <f>I187</f>
        <v>1000</v>
      </c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32">
        <f t="shared" si="15"/>
        <v>1000</v>
      </c>
      <c r="AE187" s="132">
        <f t="shared" si="16"/>
        <v>1000</v>
      </c>
      <c r="AF187" s="150">
        <f t="shared" si="17"/>
        <v>0</v>
      </c>
    </row>
    <row r="188" spans="1:32" x14ac:dyDescent="0.25">
      <c r="A188" s="315" t="s">
        <v>1188</v>
      </c>
      <c r="B188" s="315" t="s">
        <v>1635</v>
      </c>
      <c r="C188" s="169" t="str">
        <f t="shared" si="18"/>
        <v>A</v>
      </c>
      <c r="D188" s="146" t="str">
        <f t="shared" si="19"/>
        <v>1</v>
      </c>
      <c r="E188" s="147" t="s">
        <v>440</v>
      </c>
      <c r="F188" s="147" t="s">
        <v>319</v>
      </c>
      <c r="G188" s="147" t="s">
        <v>325</v>
      </c>
      <c r="H188" s="148" t="s">
        <v>279</v>
      </c>
      <c r="I188" s="316">
        <v>1824893</v>
      </c>
      <c r="J188" s="170">
        <f t="shared" si="20"/>
        <v>0</v>
      </c>
      <c r="K188" s="168" t="str">
        <f t="shared" si="21"/>
        <v xml:space="preserve"> </v>
      </c>
      <c r="L188" s="147"/>
      <c r="M188" s="147"/>
      <c r="N188" s="147"/>
      <c r="O188" s="147">
        <f>I188</f>
        <v>1824893</v>
      </c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32">
        <f t="shared" si="15"/>
        <v>1824893</v>
      </c>
      <c r="AE188" s="132">
        <f t="shared" si="16"/>
        <v>1824893</v>
      </c>
      <c r="AF188" s="150">
        <f t="shared" si="17"/>
        <v>0</v>
      </c>
    </row>
    <row r="189" spans="1:32" x14ac:dyDescent="0.25">
      <c r="A189" s="315" t="s">
        <v>659</v>
      </c>
      <c r="B189" s="315" t="s">
        <v>904</v>
      </c>
      <c r="C189" s="169" t="str">
        <f t="shared" si="18"/>
        <v>A</v>
      </c>
      <c r="D189" s="146" t="str">
        <f t="shared" si="19"/>
        <v>1</v>
      </c>
      <c r="E189" s="147" t="s">
        <v>440</v>
      </c>
      <c r="F189" s="147" t="s">
        <v>319</v>
      </c>
      <c r="G189" s="147" t="s">
        <v>325</v>
      </c>
      <c r="H189" s="148" t="s">
        <v>279</v>
      </c>
      <c r="I189" s="316">
        <v>1000</v>
      </c>
      <c r="J189" s="170">
        <f t="shared" si="20"/>
        <v>0</v>
      </c>
      <c r="K189" s="168" t="str">
        <f t="shared" si="21"/>
        <v xml:space="preserve"> </v>
      </c>
      <c r="L189" s="147"/>
      <c r="M189" s="147"/>
      <c r="N189" s="147"/>
      <c r="O189" s="147">
        <f>I189</f>
        <v>1000</v>
      </c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32">
        <f t="shared" si="15"/>
        <v>1000</v>
      </c>
      <c r="AE189" s="132">
        <f t="shared" si="16"/>
        <v>1000</v>
      </c>
      <c r="AF189" s="150">
        <f t="shared" si="17"/>
        <v>0</v>
      </c>
    </row>
    <row r="190" spans="1:32" x14ac:dyDescent="0.25">
      <c r="A190" s="315" t="s">
        <v>1333</v>
      </c>
      <c r="B190" s="315" t="s">
        <v>1556</v>
      </c>
      <c r="C190" s="169" t="str">
        <f t="shared" si="18"/>
        <v>A</v>
      </c>
      <c r="D190" s="146" t="str">
        <f t="shared" si="19"/>
        <v>1</v>
      </c>
      <c r="E190" s="147" t="s">
        <v>440</v>
      </c>
      <c r="F190" s="147" t="s">
        <v>319</v>
      </c>
      <c r="G190" s="147" t="s">
        <v>325</v>
      </c>
      <c r="H190" s="148" t="s">
        <v>279</v>
      </c>
      <c r="I190" s="316">
        <v>1885626</v>
      </c>
      <c r="J190" s="170">
        <f t="shared" si="20"/>
        <v>0</v>
      </c>
      <c r="K190" s="168" t="str">
        <f t="shared" si="21"/>
        <v xml:space="preserve"> </v>
      </c>
      <c r="L190" s="147"/>
      <c r="M190" s="147"/>
      <c r="N190" s="147"/>
      <c r="O190" s="147"/>
      <c r="P190" s="147">
        <f>I190</f>
        <v>1885626</v>
      </c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32">
        <f t="shared" si="15"/>
        <v>1885626</v>
      </c>
      <c r="AE190" s="132">
        <f t="shared" si="16"/>
        <v>1885626</v>
      </c>
      <c r="AF190" s="150">
        <f t="shared" si="17"/>
        <v>0</v>
      </c>
    </row>
    <row r="191" spans="1:32" x14ac:dyDescent="0.25">
      <c r="A191" s="315" t="s">
        <v>957</v>
      </c>
      <c r="B191" s="315" t="s">
        <v>721</v>
      </c>
      <c r="C191" s="169" t="str">
        <f t="shared" si="18"/>
        <v>A</v>
      </c>
      <c r="D191" s="146" t="str">
        <f t="shared" si="19"/>
        <v>1</v>
      </c>
      <c r="E191" s="147" t="s">
        <v>440</v>
      </c>
      <c r="F191" s="147" t="s">
        <v>319</v>
      </c>
      <c r="G191" s="147" t="s">
        <v>325</v>
      </c>
      <c r="H191" s="148" t="s">
        <v>279</v>
      </c>
      <c r="I191" s="316">
        <v>1000</v>
      </c>
      <c r="J191" s="170">
        <f t="shared" si="20"/>
        <v>0</v>
      </c>
      <c r="K191" s="168" t="str">
        <f t="shared" si="21"/>
        <v xml:space="preserve"> </v>
      </c>
      <c r="L191" s="147"/>
      <c r="M191" s="147"/>
      <c r="N191" s="147"/>
      <c r="O191" s="147"/>
      <c r="P191" s="147">
        <f>I191</f>
        <v>1000</v>
      </c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32">
        <f t="shared" si="15"/>
        <v>1000</v>
      </c>
      <c r="AE191" s="132">
        <f t="shared" si="16"/>
        <v>1000</v>
      </c>
      <c r="AF191" s="150">
        <f t="shared" si="17"/>
        <v>0</v>
      </c>
    </row>
    <row r="192" spans="1:32" x14ac:dyDescent="0.25">
      <c r="A192" s="315" t="s">
        <v>1675</v>
      </c>
      <c r="B192" s="315" t="s">
        <v>1013</v>
      </c>
      <c r="C192" s="169" t="str">
        <f t="shared" si="18"/>
        <v>A</v>
      </c>
      <c r="D192" s="146" t="str">
        <f t="shared" si="19"/>
        <v>1</v>
      </c>
      <c r="E192" s="147" t="s">
        <v>440</v>
      </c>
      <c r="F192" s="147" t="s">
        <v>319</v>
      </c>
      <c r="G192" s="147" t="s">
        <v>325</v>
      </c>
      <c r="H192" s="148" t="s">
        <v>279</v>
      </c>
      <c r="I192" s="316">
        <v>16000</v>
      </c>
      <c r="J192" s="170">
        <f t="shared" si="20"/>
        <v>0</v>
      </c>
      <c r="K192" s="168" t="str">
        <f t="shared" si="21"/>
        <v xml:space="preserve"> </v>
      </c>
      <c r="L192" s="147"/>
      <c r="M192" s="147"/>
      <c r="N192" s="147">
        <f>I192</f>
        <v>16000</v>
      </c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32">
        <f t="shared" si="15"/>
        <v>16000</v>
      </c>
      <c r="AE192" s="132">
        <f t="shared" si="16"/>
        <v>16000</v>
      </c>
      <c r="AF192" s="150">
        <f t="shared" si="17"/>
        <v>0</v>
      </c>
    </row>
    <row r="193" spans="1:32" x14ac:dyDescent="0.25">
      <c r="A193" s="315" t="s">
        <v>867</v>
      </c>
      <c r="B193" s="315" t="s">
        <v>1184</v>
      </c>
      <c r="C193" s="169" t="str">
        <f t="shared" si="18"/>
        <v>A</v>
      </c>
      <c r="D193" s="146" t="str">
        <f t="shared" si="19"/>
        <v>1</v>
      </c>
      <c r="E193" s="147" t="s">
        <v>440</v>
      </c>
      <c r="F193" s="147" t="s">
        <v>319</v>
      </c>
      <c r="G193" s="147" t="s">
        <v>325</v>
      </c>
      <c r="H193" s="148" t="s">
        <v>279</v>
      </c>
      <c r="I193" s="316">
        <v>16000</v>
      </c>
      <c r="J193" s="170">
        <f t="shared" si="20"/>
        <v>0</v>
      </c>
      <c r="K193" s="168" t="str">
        <f t="shared" si="21"/>
        <v xml:space="preserve"> </v>
      </c>
      <c r="L193" s="147"/>
      <c r="M193" s="147"/>
      <c r="N193" s="147"/>
      <c r="O193" s="147">
        <f>I193</f>
        <v>16000</v>
      </c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32">
        <f t="shared" si="15"/>
        <v>16000</v>
      </c>
      <c r="AE193" s="132">
        <f t="shared" si="16"/>
        <v>16000</v>
      </c>
      <c r="AF193" s="150">
        <f t="shared" si="17"/>
        <v>0</v>
      </c>
    </row>
    <row r="194" spans="1:32" x14ac:dyDescent="0.25">
      <c r="A194" s="315" t="s">
        <v>708</v>
      </c>
      <c r="B194" s="315" t="s">
        <v>817</v>
      </c>
      <c r="C194" s="169" t="str">
        <f t="shared" si="18"/>
        <v>A</v>
      </c>
      <c r="D194" s="146" t="str">
        <f t="shared" si="19"/>
        <v>1</v>
      </c>
      <c r="E194" s="147" t="s">
        <v>440</v>
      </c>
      <c r="F194" s="147" t="s">
        <v>319</v>
      </c>
      <c r="G194" s="147" t="s">
        <v>325</v>
      </c>
      <c r="H194" s="148" t="s">
        <v>279</v>
      </c>
      <c r="I194" s="316">
        <v>16000</v>
      </c>
      <c r="J194" s="170">
        <f t="shared" si="20"/>
        <v>0</v>
      </c>
      <c r="K194" s="168" t="str">
        <f t="shared" si="21"/>
        <v xml:space="preserve"> </v>
      </c>
      <c r="L194" s="147"/>
      <c r="M194" s="147"/>
      <c r="N194" s="147"/>
      <c r="O194" s="147"/>
      <c r="P194" s="147">
        <f>I194</f>
        <v>16000</v>
      </c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32">
        <f t="shared" si="15"/>
        <v>16000</v>
      </c>
      <c r="AE194" s="132">
        <f>SUM(J194,K194,AD194)</f>
        <v>16000</v>
      </c>
      <c r="AF194" s="150">
        <f>+I194-AE194</f>
        <v>0</v>
      </c>
    </row>
    <row r="195" spans="1:32" x14ac:dyDescent="0.25">
      <c r="A195" s="315" t="s">
        <v>1338</v>
      </c>
      <c r="B195" s="315" t="s">
        <v>900</v>
      </c>
      <c r="C195" s="169" t="str">
        <f t="shared" si="18"/>
        <v>A</v>
      </c>
      <c r="D195" s="146" t="str">
        <f t="shared" si="19"/>
        <v>1</v>
      </c>
      <c r="E195" s="147" t="s">
        <v>440</v>
      </c>
      <c r="F195" s="147" t="s">
        <v>319</v>
      </c>
      <c r="G195" s="147" t="s">
        <v>325</v>
      </c>
      <c r="H195" s="148" t="s">
        <v>279</v>
      </c>
      <c r="I195" s="316">
        <v>5995040</v>
      </c>
      <c r="J195" s="170">
        <f t="shared" si="20"/>
        <v>0</v>
      </c>
      <c r="K195" s="168" t="str">
        <f t="shared" si="21"/>
        <v xml:space="preserve"> </v>
      </c>
      <c r="L195" s="147">
        <f>I195</f>
        <v>5995040</v>
      </c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  <c r="AD195" s="132">
        <f t="shared" si="15"/>
        <v>5995040</v>
      </c>
      <c r="AE195" s="132">
        <f t="shared" si="16"/>
        <v>5995040</v>
      </c>
      <c r="AF195" s="150">
        <f t="shared" si="17"/>
        <v>0</v>
      </c>
    </row>
    <row r="196" spans="1:32" x14ac:dyDescent="0.25">
      <c r="A196" s="315" t="s">
        <v>1716</v>
      </c>
      <c r="B196" s="315" t="s">
        <v>499</v>
      </c>
      <c r="C196" s="169" t="str">
        <f t="shared" si="18"/>
        <v>A</v>
      </c>
      <c r="D196" s="146" t="str">
        <f t="shared" si="19"/>
        <v>1</v>
      </c>
      <c r="E196" s="147" t="s">
        <v>440</v>
      </c>
      <c r="F196" s="147" t="s">
        <v>319</v>
      </c>
      <c r="G196" s="147" t="s">
        <v>325</v>
      </c>
      <c r="H196" s="148" t="s">
        <v>279</v>
      </c>
      <c r="I196" s="316">
        <v>12000</v>
      </c>
      <c r="J196" s="170">
        <f t="shared" si="20"/>
        <v>0</v>
      </c>
      <c r="K196" s="168" t="str">
        <f t="shared" si="21"/>
        <v xml:space="preserve"> </v>
      </c>
      <c r="L196" s="147">
        <f>I196</f>
        <v>12000</v>
      </c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  <c r="AA196" s="147"/>
      <c r="AB196" s="147"/>
      <c r="AC196" s="147"/>
      <c r="AD196" s="132">
        <f t="shared" si="15"/>
        <v>12000</v>
      </c>
      <c r="AE196" s="132">
        <f t="shared" si="16"/>
        <v>12000</v>
      </c>
      <c r="AF196" s="150">
        <f t="shared" si="17"/>
        <v>0</v>
      </c>
    </row>
    <row r="197" spans="1:32" x14ac:dyDescent="0.25">
      <c r="A197" s="315" t="s">
        <v>1272</v>
      </c>
      <c r="B197" s="315" t="s">
        <v>1137</v>
      </c>
      <c r="C197" s="169" t="str">
        <f t="shared" si="18"/>
        <v>A</v>
      </c>
      <c r="D197" s="146" t="str">
        <f t="shared" si="19"/>
        <v>1</v>
      </c>
      <c r="E197" s="147" t="s">
        <v>440</v>
      </c>
      <c r="F197" s="147" t="s">
        <v>319</v>
      </c>
      <c r="G197" s="147" t="s">
        <v>325</v>
      </c>
      <c r="H197" s="148" t="s">
        <v>279</v>
      </c>
      <c r="I197" s="316">
        <v>4117300</v>
      </c>
      <c r="J197" s="170">
        <f t="shared" si="20"/>
        <v>0</v>
      </c>
      <c r="K197" s="168" t="str">
        <f t="shared" si="21"/>
        <v xml:space="preserve"> </v>
      </c>
      <c r="L197" s="147"/>
      <c r="M197" s="147">
        <f>I197</f>
        <v>4117300</v>
      </c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32">
        <f t="shared" si="15"/>
        <v>4117300</v>
      </c>
      <c r="AE197" s="132">
        <f t="shared" si="16"/>
        <v>4117300</v>
      </c>
      <c r="AF197" s="150">
        <f t="shared" si="17"/>
        <v>0</v>
      </c>
    </row>
    <row r="198" spans="1:32" x14ac:dyDescent="0.25">
      <c r="A198" s="315" t="s">
        <v>972</v>
      </c>
      <c r="B198" s="315" t="s">
        <v>1303</v>
      </c>
      <c r="C198" s="169" t="str">
        <f t="shared" si="18"/>
        <v>A</v>
      </c>
      <c r="D198" s="146" t="str">
        <f t="shared" si="19"/>
        <v>1</v>
      </c>
      <c r="E198" s="147" t="s">
        <v>440</v>
      </c>
      <c r="F198" s="147" t="s">
        <v>319</v>
      </c>
      <c r="G198" s="147" t="s">
        <v>325</v>
      </c>
      <c r="H198" s="148" t="s">
        <v>279</v>
      </c>
      <c r="I198" s="316">
        <v>5000</v>
      </c>
      <c r="J198" s="170">
        <f t="shared" si="20"/>
        <v>0</v>
      </c>
      <c r="K198" s="168" t="str">
        <f t="shared" si="21"/>
        <v xml:space="preserve"> </v>
      </c>
      <c r="L198" s="147"/>
      <c r="M198" s="147">
        <f>I198</f>
        <v>5000</v>
      </c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32">
        <f t="shared" si="15"/>
        <v>5000</v>
      </c>
      <c r="AE198" s="132">
        <f t="shared" si="16"/>
        <v>5000</v>
      </c>
      <c r="AF198" s="150">
        <f t="shared" si="17"/>
        <v>0</v>
      </c>
    </row>
    <row r="199" spans="1:32" x14ac:dyDescent="0.25">
      <c r="A199" s="315" t="s">
        <v>920</v>
      </c>
      <c r="B199" s="315" t="s">
        <v>1081</v>
      </c>
      <c r="C199" s="169" t="str">
        <f t="shared" si="18"/>
        <v>A</v>
      </c>
      <c r="D199" s="146" t="str">
        <f t="shared" si="19"/>
        <v>1</v>
      </c>
      <c r="E199" s="147" t="s">
        <v>440</v>
      </c>
      <c r="F199" s="147" t="s">
        <v>319</v>
      </c>
      <c r="G199" s="147" t="s">
        <v>325</v>
      </c>
      <c r="H199" s="148" t="s">
        <v>279</v>
      </c>
      <c r="I199" s="316">
        <v>35000</v>
      </c>
      <c r="J199" s="170">
        <f t="shared" si="20"/>
        <v>0</v>
      </c>
      <c r="K199" s="168" t="str">
        <f t="shared" si="21"/>
        <v xml:space="preserve"> </v>
      </c>
      <c r="L199" s="147">
        <f>I199</f>
        <v>35000</v>
      </c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  <c r="AD199" s="132">
        <f t="shared" ref="AD199:AD262" si="25">SUM(L199:AC199)</f>
        <v>35000</v>
      </c>
      <c r="AE199" s="132">
        <f t="shared" si="16"/>
        <v>35000</v>
      </c>
      <c r="AF199" s="150">
        <f t="shared" si="17"/>
        <v>0</v>
      </c>
    </row>
    <row r="200" spans="1:32" x14ac:dyDescent="0.25">
      <c r="A200" s="315" t="s">
        <v>1330</v>
      </c>
      <c r="B200" s="315" t="s">
        <v>1324</v>
      </c>
      <c r="C200" s="169" t="str">
        <f t="shared" ref="C200:C263" si="26">CONCATENATE(MID(A200,1,1))</f>
        <v>A</v>
      </c>
      <c r="D200" s="146" t="str">
        <f t="shared" ref="D200:D263" si="27">CONCATENATE(MID(A200,8,1))</f>
        <v>1</v>
      </c>
      <c r="E200" s="147" t="s">
        <v>440</v>
      </c>
      <c r="F200" s="147" t="s">
        <v>319</v>
      </c>
      <c r="G200" s="147" t="s">
        <v>325</v>
      </c>
      <c r="H200" s="148" t="s">
        <v>279</v>
      </c>
      <c r="I200" s="316">
        <v>25000</v>
      </c>
      <c r="J200" s="170">
        <f t="shared" ref="J200:J263" si="28">IF(D200="8",I200,0)</f>
        <v>0</v>
      </c>
      <c r="K200" s="168" t="str">
        <f t="shared" ref="K200:K263" si="29">IF(E200&lt;&gt;"S",IF(D200&lt;&gt;"8",I200,"")," ")</f>
        <v xml:space="preserve"> </v>
      </c>
      <c r="L200" s="147"/>
      <c r="M200" s="147">
        <f>I200</f>
        <v>25000</v>
      </c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32">
        <f t="shared" si="25"/>
        <v>25000</v>
      </c>
      <c r="AE200" s="132">
        <f t="shared" si="16"/>
        <v>25000</v>
      </c>
      <c r="AF200" s="150">
        <f t="shared" si="17"/>
        <v>0</v>
      </c>
    </row>
    <row r="201" spans="1:32" x14ac:dyDescent="0.25">
      <c r="A201" s="315" t="s">
        <v>1571</v>
      </c>
      <c r="B201" s="315" t="s">
        <v>1702</v>
      </c>
      <c r="C201" s="169" t="str">
        <f t="shared" si="26"/>
        <v>A</v>
      </c>
      <c r="D201" s="146" t="str">
        <f t="shared" si="27"/>
        <v>1</v>
      </c>
      <c r="E201" s="147" t="s">
        <v>440</v>
      </c>
      <c r="F201" s="147" t="s">
        <v>319</v>
      </c>
      <c r="G201" s="147" t="s">
        <v>325</v>
      </c>
      <c r="H201" s="148" t="s">
        <v>279</v>
      </c>
      <c r="I201" s="316">
        <v>84000</v>
      </c>
      <c r="J201" s="170">
        <f t="shared" si="28"/>
        <v>0</v>
      </c>
      <c r="K201" s="168" t="str">
        <f t="shared" si="29"/>
        <v xml:space="preserve"> </v>
      </c>
      <c r="L201" s="147">
        <f>I201</f>
        <v>84000</v>
      </c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  <c r="AA201" s="147"/>
      <c r="AB201" s="147"/>
      <c r="AC201" s="147"/>
      <c r="AD201" s="132">
        <f t="shared" si="25"/>
        <v>84000</v>
      </c>
      <c r="AE201" s="132">
        <f t="shared" si="16"/>
        <v>84000</v>
      </c>
      <c r="AF201" s="150">
        <f t="shared" si="17"/>
        <v>0</v>
      </c>
    </row>
    <row r="202" spans="1:32" x14ac:dyDescent="0.25">
      <c r="A202" s="315" t="s">
        <v>1382</v>
      </c>
      <c r="B202" s="315" t="s">
        <v>1286</v>
      </c>
      <c r="C202" s="169" t="str">
        <f t="shared" si="26"/>
        <v>A</v>
      </c>
      <c r="D202" s="146" t="str">
        <f t="shared" si="27"/>
        <v>1</v>
      </c>
      <c r="E202" s="147" t="s">
        <v>440</v>
      </c>
      <c r="F202" s="147" t="s">
        <v>319</v>
      </c>
      <c r="G202" s="147" t="s">
        <v>325</v>
      </c>
      <c r="H202" s="148" t="s">
        <v>279</v>
      </c>
      <c r="I202" s="316">
        <v>32000</v>
      </c>
      <c r="J202" s="170">
        <f t="shared" si="28"/>
        <v>0</v>
      </c>
      <c r="K202" s="168" t="str">
        <f t="shared" si="29"/>
        <v xml:space="preserve"> </v>
      </c>
      <c r="L202" s="147">
        <f>I202</f>
        <v>32000</v>
      </c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32">
        <f t="shared" si="25"/>
        <v>32000</v>
      </c>
      <c r="AE202" s="132">
        <f t="shared" ref="AE202:AE264" si="30">SUM(J202,K202,AD202)</f>
        <v>32000</v>
      </c>
      <c r="AF202" s="150">
        <f t="shared" ref="AF202:AF264" si="31">+I202-AE202</f>
        <v>0</v>
      </c>
    </row>
    <row r="203" spans="1:32" x14ac:dyDescent="0.25">
      <c r="A203" s="315" t="s">
        <v>1209</v>
      </c>
      <c r="B203" s="315" t="s">
        <v>1087</v>
      </c>
      <c r="C203" s="169" t="str">
        <f t="shared" si="26"/>
        <v>A</v>
      </c>
      <c r="D203" s="146" t="str">
        <f t="shared" si="27"/>
        <v>1</v>
      </c>
      <c r="E203" s="147" t="s">
        <v>440</v>
      </c>
      <c r="F203" s="147" t="s">
        <v>319</v>
      </c>
      <c r="G203" s="147" t="s">
        <v>325</v>
      </c>
      <c r="H203" s="148" t="s">
        <v>279</v>
      </c>
      <c r="I203" s="316">
        <v>68000</v>
      </c>
      <c r="J203" s="170">
        <f t="shared" si="28"/>
        <v>0</v>
      </c>
      <c r="K203" s="168" t="str">
        <f t="shared" si="29"/>
        <v xml:space="preserve"> </v>
      </c>
      <c r="L203" s="147"/>
      <c r="M203" s="147">
        <f>I203</f>
        <v>68000</v>
      </c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32">
        <f t="shared" si="25"/>
        <v>68000</v>
      </c>
      <c r="AE203" s="132">
        <f t="shared" si="30"/>
        <v>68000</v>
      </c>
      <c r="AF203" s="150">
        <f t="shared" si="31"/>
        <v>0</v>
      </c>
    </row>
    <row r="204" spans="1:32" x14ac:dyDescent="0.25">
      <c r="A204" s="315" t="s">
        <v>719</v>
      </c>
      <c r="B204" s="315" t="s">
        <v>780</v>
      </c>
      <c r="C204" s="169" t="str">
        <f t="shared" si="26"/>
        <v>A</v>
      </c>
      <c r="D204" s="146" t="str">
        <f t="shared" si="27"/>
        <v>1</v>
      </c>
      <c r="E204" s="147" t="s">
        <v>440</v>
      </c>
      <c r="F204" s="147" t="s">
        <v>319</v>
      </c>
      <c r="G204" s="147" t="s">
        <v>325</v>
      </c>
      <c r="H204" s="148" t="s">
        <v>279</v>
      </c>
      <c r="I204" s="316">
        <v>68000</v>
      </c>
      <c r="J204" s="170">
        <f t="shared" si="28"/>
        <v>0</v>
      </c>
      <c r="K204" s="168" t="str">
        <f t="shared" si="29"/>
        <v xml:space="preserve"> </v>
      </c>
      <c r="L204" s="147"/>
      <c r="M204" s="147">
        <f>I204</f>
        <v>68000</v>
      </c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  <c r="AD204" s="132">
        <f t="shared" si="25"/>
        <v>68000</v>
      </c>
      <c r="AE204" s="132">
        <f t="shared" si="30"/>
        <v>68000</v>
      </c>
      <c r="AF204" s="150">
        <f t="shared" si="31"/>
        <v>0</v>
      </c>
    </row>
    <row r="205" spans="1:32" x14ac:dyDescent="0.25">
      <c r="A205" s="315" t="s">
        <v>1294</v>
      </c>
      <c r="B205" s="315" t="s">
        <v>1463</v>
      </c>
      <c r="C205" s="169" t="str">
        <f t="shared" si="26"/>
        <v>A</v>
      </c>
      <c r="D205" s="146" t="str">
        <f t="shared" si="27"/>
        <v>1</v>
      </c>
      <c r="E205" s="147" t="s">
        <v>440</v>
      </c>
      <c r="F205" s="147" t="s">
        <v>319</v>
      </c>
      <c r="G205" s="147" t="s">
        <v>325</v>
      </c>
      <c r="H205" s="148" t="s">
        <v>279</v>
      </c>
      <c r="I205" s="316">
        <v>40000</v>
      </c>
      <c r="J205" s="170">
        <f t="shared" si="28"/>
        <v>0</v>
      </c>
      <c r="K205" s="168" t="str">
        <f t="shared" si="29"/>
        <v xml:space="preserve"> </v>
      </c>
      <c r="L205" s="147"/>
      <c r="M205" s="147"/>
      <c r="N205" s="147">
        <f>I205</f>
        <v>40000</v>
      </c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32">
        <f t="shared" si="25"/>
        <v>40000</v>
      </c>
      <c r="AE205" s="132">
        <f t="shared" si="30"/>
        <v>40000</v>
      </c>
      <c r="AF205" s="150">
        <f t="shared" si="31"/>
        <v>0</v>
      </c>
    </row>
    <row r="206" spans="1:32" x14ac:dyDescent="0.25">
      <c r="A206" s="315" t="s">
        <v>917</v>
      </c>
      <c r="B206" s="315" t="s">
        <v>1506</v>
      </c>
      <c r="C206" s="169" t="str">
        <f t="shared" si="26"/>
        <v>A</v>
      </c>
      <c r="D206" s="146" t="str">
        <f t="shared" si="27"/>
        <v>1</v>
      </c>
      <c r="E206" s="147" t="s">
        <v>440</v>
      </c>
      <c r="F206" s="147" t="s">
        <v>319</v>
      </c>
      <c r="G206" s="147" t="s">
        <v>325</v>
      </c>
      <c r="H206" s="148" t="s">
        <v>279</v>
      </c>
      <c r="I206" s="316">
        <v>32000</v>
      </c>
      <c r="J206" s="170">
        <f t="shared" si="28"/>
        <v>0</v>
      </c>
      <c r="K206" s="168" t="str">
        <f t="shared" si="29"/>
        <v xml:space="preserve"> </v>
      </c>
      <c r="L206" s="147"/>
      <c r="M206" s="147"/>
      <c r="N206" s="147">
        <f>I206</f>
        <v>32000</v>
      </c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32">
        <f t="shared" si="25"/>
        <v>32000</v>
      </c>
      <c r="AE206" s="132">
        <f t="shared" si="30"/>
        <v>32000</v>
      </c>
      <c r="AF206" s="150">
        <f t="shared" si="31"/>
        <v>0</v>
      </c>
    </row>
    <row r="207" spans="1:32" x14ac:dyDescent="0.25">
      <c r="A207" s="315" t="s">
        <v>1444</v>
      </c>
      <c r="B207" s="315" t="s">
        <v>1111</v>
      </c>
      <c r="C207" s="169" t="str">
        <f t="shared" si="26"/>
        <v>A</v>
      </c>
      <c r="D207" s="146" t="str">
        <f t="shared" si="27"/>
        <v>1</v>
      </c>
      <c r="E207" s="147" t="s">
        <v>440</v>
      </c>
      <c r="F207" s="147" t="s">
        <v>319</v>
      </c>
      <c r="G207" s="147" t="s">
        <v>325</v>
      </c>
      <c r="H207" s="148" t="s">
        <v>279</v>
      </c>
      <c r="I207" s="316">
        <v>56000</v>
      </c>
      <c r="J207" s="170">
        <f t="shared" si="28"/>
        <v>0</v>
      </c>
      <c r="K207" s="168" t="str">
        <f t="shared" si="29"/>
        <v xml:space="preserve"> </v>
      </c>
      <c r="L207" s="147"/>
      <c r="M207" s="147"/>
      <c r="N207" s="147"/>
      <c r="O207" s="147">
        <f>I207</f>
        <v>56000</v>
      </c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32">
        <f t="shared" si="25"/>
        <v>56000</v>
      </c>
      <c r="AE207" s="132">
        <f t="shared" si="30"/>
        <v>56000</v>
      </c>
      <c r="AF207" s="150">
        <f t="shared" si="31"/>
        <v>0</v>
      </c>
    </row>
    <row r="208" spans="1:32" x14ac:dyDescent="0.25">
      <c r="A208" s="315" t="s">
        <v>1060</v>
      </c>
      <c r="B208" s="315" t="s">
        <v>777</v>
      </c>
      <c r="C208" s="169" t="str">
        <f t="shared" si="26"/>
        <v>A</v>
      </c>
      <c r="D208" s="146" t="str">
        <f t="shared" si="27"/>
        <v>1</v>
      </c>
      <c r="E208" s="147" t="s">
        <v>440</v>
      </c>
      <c r="F208" s="147" t="s">
        <v>319</v>
      </c>
      <c r="G208" s="147" t="s">
        <v>325</v>
      </c>
      <c r="H208" s="148" t="s">
        <v>279</v>
      </c>
      <c r="I208" s="316">
        <v>36000</v>
      </c>
      <c r="J208" s="170">
        <f t="shared" si="28"/>
        <v>0</v>
      </c>
      <c r="K208" s="168" t="str">
        <f t="shared" si="29"/>
        <v xml:space="preserve"> </v>
      </c>
      <c r="L208" s="147"/>
      <c r="M208" s="147"/>
      <c r="N208" s="147"/>
      <c r="O208" s="147">
        <f>I208</f>
        <v>36000</v>
      </c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32">
        <f t="shared" si="25"/>
        <v>36000</v>
      </c>
      <c r="AE208" s="132">
        <f t="shared" si="30"/>
        <v>36000</v>
      </c>
      <c r="AF208" s="150">
        <f t="shared" si="31"/>
        <v>0</v>
      </c>
    </row>
    <row r="209" spans="1:32" x14ac:dyDescent="0.25">
      <c r="A209" s="315" t="s">
        <v>520</v>
      </c>
      <c r="B209" s="315" t="s">
        <v>1295</v>
      </c>
      <c r="C209" s="169" t="str">
        <f t="shared" si="26"/>
        <v>A</v>
      </c>
      <c r="D209" s="146" t="str">
        <f t="shared" si="27"/>
        <v>1</v>
      </c>
      <c r="E209" s="147" t="s">
        <v>440</v>
      </c>
      <c r="F209" s="147" t="s">
        <v>319</v>
      </c>
      <c r="G209" s="147" t="s">
        <v>325</v>
      </c>
      <c r="H209" s="148" t="s">
        <v>279</v>
      </c>
      <c r="I209" s="316">
        <v>64000</v>
      </c>
      <c r="J209" s="170">
        <f t="shared" si="28"/>
        <v>0</v>
      </c>
      <c r="K209" s="168" t="str">
        <f t="shared" si="29"/>
        <v xml:space="preserve"> </v>
      </c>
      <c r="L209" s="147"/>
      <c r="M209" s="147"/>
      <c r="N209" s="147"/>
      <c r="O209" s="147"/>
      <c r="P209" s="147">
        <f>I209</f>
        <v>64000</v>
      </c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32">
        <f t="shared" si="25"/>
        <v>64000</v>
      </c>
      <c r="AE209" s="132">
        <f t="shared" si="30"/>
        <v>64000</v>
      </c>
      <c r="AF209" s="150">
        <f t="shared" si="31"/>
        <v>0</v>
      </c>
    </row>
    <row r="210" spans="1:32" x14ac:dyDescent="0.25">
      <c r="A210" s="315" t="s">
        <v>1742</v>
      </c>
      <c r="B210" s="315" t="s">
        <v>968</v>
      </c>
      <c r="C210" s="169" t="str">
        <f t="shared" si="26"/>
        <v>A</v>
      </c>
      <c r="D210" s="146" t="str">
        <f t="shared" si="27"/>
        <v>1</v>
      </c>
      <c r="E210" s="147" t="s">
        <v>440</v>
      </c>
      <c r="F210" s="147" t="s">
        <v>319</v>
      </c>
      <c r="G210" s="147" t="s">
        <v>325</v>
      </c>
      <c r="H210" s="148" t="s">
        <v>279</v>
      </c>
      <c r="I210" s="316">
        <v>60000</v>
      </c>
      <c r="J210" s="170">
        <f t="shared" si="28"/>
        <v>0</v>
      </c>
      <c r="K210" s="168" t="str">
        <f t="shared" si="29"/>
        <v xml:space="preserve"> </v>
      </c>
      <c r="L210" s="147"/>
      <c r="M210" s="147"/>
      <c r="N210" s="147"/>
      <c r="O210" s="147"/>
      <c r="P210" s="147">
        <f>I210</f>
        <v>60000</v>
      </c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32">
        <f t="shared" si="25"/>
        <v>60000</v>
      </c>
      <c r="AE210" s="132">
        <f t="shared" si="30"/>
        <v>60000</v>
      </c>
      <c r="AF210" s="150">
        <f t="shared" si="31"/>
        <v>0</v>
      </c>
    </row>
    <row r="211" spans="1:32" x14ac:dyDescent="0.25">
      <c r="A211" s="315" t="s">
        <v>683</v>
      </c>
      <c r="B211" s="315" t="s">
        <v>560</v>
      </c>
      <c r="C211" s="169" t="str">
        <f t="shared" si="26"/>
        <v>A</v>
      </c>
      <c r="D211" s="146" t="str">
        <f t="shared" si="27"/>
        <v>1</v>
      </c>
      <c r="E211" s="147" t="s">
        <v>440</v>
      </c>
      <c r="F211" s="147" t="s">
        <v>319</v>
      </c>
      <c r="G211" s="147" t="s">
        <v>325</v>
      </c>
      <c r="H211" s="148" t="s">
        <v>279</v>
      </c>
      <c r="I211" s="316">
        <v>135233</v>
      </c>
      <c r="J211" s="170">
        <f t="shared" si="28"/>
        <v>0</v>
      </c>
      <c r="K211" s="168" t="str">
        <f t="shared" si="29"/>
        <v xml:space="preserve"> </v>
      </c>
      <c r="L211" s="147">
        <f>I211</f>
        <v>135233</v>
      </c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32">
        <f t="shared" si="25"/>
        <v>135233</v>
      </c>
      <c r="AE211" s="132">
        <f t="shared" si="30"/>
        <v>135233</v>
      </c>
      <c r="AF211" s="150">
        <f t="shared" si="31"/>
        <v>0</v>
      </c>
    </row>
    <row r="212" spans="1:32" x14ac:dyDescent="0.25">
      <c r="A212" s="315" t="s">
        <v>640</v>
      </c>
      <c r="B212" s="315" t="s">
        <v>580</v>
      </c>
      <c r="C212" s="169" t="str">
        <f t="shared" si="26"/>
        <v>A</v>
      </c>
      <c r="D212" s="146" t="str">
        <f t="shared" si="27"/>
        <v>1</v>
      </c>
      <c r="E212" s="147" t="s">
        <v>440</v>
      </c>
      <c r="F212" s="147" t="s">
        <v>319</v>
      </c>
      <c r="G212" s="147" t="s">
        <v>325</v>
      </c>
      <c r="H212" s="148" t="s">
        <v>279</v>
      </c>
      <c r="I212" s="316">
        <v>27082</v>
      </c>
      <c r="J212" s="170">
        <f t="shared" si="28"/>
        <v>0</v>
      </c>
      <c r="K212" s="168" t="str">
        <f t="shared" si="29"/>
        <v xml:space="preserve"> </v>
      </c>
      <c r="L212" s="147"/>
      <c r="M212" s="147">
        <f>I212</f>
        <v>27082</v>
      </c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32">
        <f t="shared" si="25"/>
        <v>27082</v>
      </c>
      <c r="AE212" s="132">
        <f t="shared" si="30"/>
        <v>27082</v>
      </c>
      <c r="AF212" s="150">
        <f t="shared" si="31"/>
        <v>0</v>
      </c>
    </row>
    <row r="213" spans="1:32" x14ac:dyDescent="0.25">
      <c r="A213" s="315" t="s">
        <v>1155</v>
      </c>
      <c r="B213" s="315" t="s">
        <v>1501</v>
      </c>
      <c r="C213" s="169" t="str">
        <f t="shared" si="26"/>
        <v>A</v>
      </c>
      <c r="D213" s="146" t="str">
        <f t="shared" si="27"/>
        <v>1</v>
      </c>
      <c r="E213" s="147" t="s">
        <v>440</v>
      </c>
      <c r="F213" s="147" t="s">
        <v>319</v>
      </c>
      <c r="G213" s="147" t="s">
        <v>325</v>
      </c>
      <c r="H213" s="148" t="s">
        <v>279</v>
      </c>
      <c r="I213" s="316">
        <v>29742</v>
      </c>
      <c r="J213" s="170">
        <f t="shared" si="28"/>
        <v>0</v>
      </c>
      <c r="K213" s="168" t="str">
        <f t="shared" si="29"/>
        <v xml:space="preserve"> </v>
      </c>
      <c r="L213" s="147"/>
      <c r="M213" s="147"/>
      <c r="N213" s="147"/>
      <c r="O213" s="147">
        <f>I213</f>
        <v>29742</v>
      </c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32">
        <f t="shared" si="25"/>
        <v>29742</v>
      </c>
      <c r="AE213" s="132">
        <f t="shared" si="30"/>
        <v>29742</v>
      </c>
      <c r="AF213" s="150">
        <f t="shared" si="31"/>
        <v>0</v>
      </c>
    </row>
    <row r="214" spans="1:32" x14ac:dyDescent="0.25">
      <c r="A214" s="315" t="s">
        <v>1403</v>
      </c>
      <c r="B214" s="315" t="s">
        <v>565</v>
      </c>
      <c r="C214" s="169" t="str">
        <f t="shared" si="26"/>
        <v>A</v>
      </c>
      <c r="D214" s="146" t="str">
        <f t="shared" si="27"/>
        <v>1</v>
      </c>
      <c r="E214" s="147" t="s">
        <v>440</v>
      </c>
      <c r="F214" s="147" t="s">
        <v>319</v>
      </c>
      <c r="G214" s="147" t="s">
        <v>325</v>
      </c>
      <c r="H214" s="148" t="s">
        <v>279</v>
      </c>
      <c r="I214" s="316">
        <v>23624</v>
      </c>
      <c r="J214" s="170">
        <f t="shared" si="28"/>
        <v>0</v>
      </c>
      <c r="K214" s="168" t="str">
        <f t="shared" si="29"/>
        <v xml:space="preserve"> </v>
      </c>
      <c r="L214" s="147"/>
      <c r="M214" s="147"/>
      <c r="N214" s="147"/>
      <c r="O214" s="147"/>
      <c r="P214" s="147">
        <f>I214</f>
        <v>23624</v>
      </c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32">
        <f t="shared" si="25"/>
        <v>23624</v>
      </c>
      <c r="AE214" s="132">
        <f t="shared" si="30"/>
        <v>23624</v>
      </c>
      <c r="AF214" s="150">
        <f t="shared" si="31"/>
        <v>0</v>
      </c>
    </row>
    <row r="215" spans="1:32" x14ac:dyDescent="0.25">
      <c r="A215" s="315" t="s">
        <v>1181</v>
      </c>
      <c r="B215" s="315" t="s">
        <v>1569</v>
      </c>
      <c r="C215" s="169" t="str">
        <f t="shared" si="26"/>
        <v>A</v>
      </c>
      <c r="D215" s="146" t="str">
        <f t="shared" si="27"/>
        <v>1</v>
      </c>
      <c r="E215" s="147" t="s">
        <v>440</v>
      </c>
      <c r="F215" s="147" t="s">
        <v>320</v>
      </c>
      <c r="G215" s="147" t="s">
        <v>325</v>
      </c>
      <c r="H215" s="148" t="s">
        <v>279</v>
      </c>
      <c r="I215" s="316">
        <v>46417</v>
      </c>
      <c r="J215" s="170">
        <f t="shared" si="28"/>
        <v>0</v>
      </c>
      <c r="K215" s="168" t="str">
        <f t="shared" si="29"/>
        <v xml:space="preserve"> </v>
      </c>
      <c r="L215" s="147"/>
      <c r="M215" s="147"/>
      <c r="N215" s="147">
        <f>I215</f>
        <v>46417</v>
      </c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7"/>
      <c r="AB215" s="147"/>
      <c r="AC215" s="147"/>
      <c r="AD215" s="132">
        <f t="shared" si="25"/>
        <v>46417</v>
      </c>
      <c r="AE215" s="132">
        <f t="shared" si="30"/>
        <v>46417</v>
      </c>
      <c r="AF215" s="150">
        <f t="shared" si="31"/>
        <v>0</v>
      </c>
    </row>
    <row r="216" spans="1:32" x14ac:dyDescent="0.25">
      <c r="A216" s="315" t="s">
        <v>1409</v>
      </c>
      <c r="B216" s="315" t="s">
        <v>523</v>
      </c>
      <c r="C216" s="169" t="str">
        <f t="shared" si="26"/>
        <v>A</v>
      </c>
      <c r="D216" s="146" t="str">
        <f t="shared" si="27"/>
        <v>1</v>
      </c>
      <c r="E216" s="147" t="s">
        <v>440</v>
      </c>
      <c r="F216" s="147" t="s">
        <v>320</v>
      </c>
      <c r="G216" s="147" t="s">
        <v>325</v>
      </c>
      <c r="H216" s="148" t="s">
        <v>279</v>
      </c>
      <c r="I216" s="316">
        <v>54010</v>
      </c>
      <c r="J216" s="170">
        <f t="shared" si="28"/>
        <v>0</v>
      </c>
      <c r="K216" s="168" t="str">
        <f t="shared" si="29"/>
        <v xml:space="preserve"> </v>
      </c>
      <c r="L216" s="147"/>
      <c r="M216" s="147"/>
      <c r="N216" s="147"/>
      <c r="O216" s="147">
        <f>I216</f>
        <v>54010</v>
      </c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  <c r="AD216" s="132">
        <f t="shared" si="25"/>
        <v>54010</v>
      </c>
      <c r="AE216" s="132">
        <f t="shared" si="30"/>
        <v>54010</v>
      </c>
      <c r="AF216" s="150">
        <f t="shared" si="31"/>
        <v>0</v>
      </c>
    </row>
    <row r="217" spans="1:32" x14ac:dyDescent="0.25">
      <c r="A217" s="315" t="s">
        <v>647</v>
      </c>
      <c r="B217" s="315" t="s">
        <v>1285</v>
      </c>
      <c r="C217" s="169" t="str">
        <f t="shared" si="26"/>
        <v>A</v>
      </c>
      <c r="D217" s="146" t="str">
        <f t="shared" si="27"/>
        <v>1</v>
      </c>
      <c r="E217" s="147" t="s">
        <v>440</v>
      </c>
      <c r="F217" s="147" t="s">
        <v>320</v>
      </c>
      <c r="G217" s="147" t="s">
        <v>325</v>
      </c>
      <c r="H217" s="148" t="s">
        <v>279</v>
      </c>
      <c r="I217" s="316">
        <v>44787</v>
      </c>
      <c r="J217" s="170">
        <f t="shared" si="28"/>
        <v>0</v>
      </c>
      <c r="K217" s="168" t="str">
        <f t="shared" si="29"/>
        <v xml:space="preserve"> </v>
      </c>
      <c r="L217" s="147"/>
      <c r="M217" s="147"/>
      <c r="N217" s="147"/>
      <c r="O217" s="147"/>
      <c r="P217" s="147">
        <f>I217</f>
        <v>44787</v>
      </c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  <c r="AD217" s="132">
        <f t="shared" si="25"/>
        <v>44787</v>
      </c>
      <c r="AE217" s="132">
        <f t="shared" si="30"/>
        <v>44787</v>
      </c>
      <c r="AF217" s="150">
        <f t="shared" si="31"/>
        <v>0</v>
      </c>
    </row>
    <row r="218" spans="1:32" x14ac:dyDescent="0.25">
      <c r="A218" s="315" t="s">
        <v>1179</v>
      </c>
      <c r="B218" s="315" t="s">
        <v>764</v>
      </c>
      <c r="C218" s="169" t="str">
        <f t="shared" si="26"/>
        <v>A</v>
      </c>
      <c r="D218" s="146" t="str">
        <f t="shared" si="27"/>
        <v>1</v>
      </c>
      <c r="E218" s="147" t="s">
        <v>440</v>
      </c>
      <c r="F218" s="147" t="s">
        <v>320</v>
      </c>
      <c r="G218" s="147" t="s">
        <v>325</v>
      </c>
      <c r="H218" s="148" t="s">
        <v>279</v>
      </c>
      <c r="I218" s="316">
        <v>146699</v>
      </c>
      <c r="J218" s="170">
        <f t="shared" si="28"/>
        <v>0</v>
      </c>
      <c r="K218" s="168" t="str">
        <f t="shared" si="29"/>
        <v xml:space="preserve"> </v>
      </c>
      <c r="L218" s="147">
        <f>I218</f>
        <v>146699</v>
      </c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32">
        <f t="shared" si="25"/>
        <v>146699</v>
      </c>
      <c r="AE218" s="132">
        <f t="shared" si="30"/>
        <v>146699</v>
      </c>
      <c r="AF218" s="150">
        <f t="shared" si="31"/>
        <v>0</v>
      </c>
    </row>
    <row r="219" spans="1:32" x14ac:dyDescent="0.25">
      <c r="A219" s="315" t="s">
        <v>1135</v>
      </c>
      <c r="B219" s="315" t="s">
        <v>1347</v>
      </c>
      <c r="C219" s="169" t="str">
        <f t="shared" si="26"/>
        <v>A</v>
      </c>
      <c r="D219" s="146" t="str">
        <f t="shared" si="27"/>
        <v>1</v>
      </c>
      <c r="E219" s="147" t="s">
        <v>440</v>
      </c>
      <c r="F219" s="147" t="s">
        <v>320</v>
      </c>
      <c r="G219" s="147" t="s">
        <v>325</v>
      </c>
      <c r="H219" s="148" t="s">
        <v>279</v>
      </c>
      <c r="I219" s="316">
        <v>20000</v>
      </c>
      <c r="J219" s="170">
        <f t="shared" si="28"/>
        <v>0</v>
      </c>
      <c r="K219" s="168" t="str">
        <f t="shared" si="29"/>
        <v xml:space="preserve"> </v>
      </c>
      <c r="L219" s="147">
        <f>I219</f>
        <v>20000</v>
      </c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32">
        <f t="shared" si="25"/>
        <v>20000</v>
      </c>
      <c r="AE219" s="132">
        <f t="shared" si="30"/>
        <v>20000</v>
      </c>
      <c r="AF219" s="150">
        <f t="shared" si="31"/>
        <v>0</v>
      </c>
    </row>
    <row r="220" spans="1:32" x14ac:dyDescent="0.25">
      <c r="A220" s="315" t="s">
        <v>1166</v>
      </c>
      <c r="B220" s="315" t="s">
        <v>1489</v>
      </c>
      <c r="C220" s="169" t="str">
        <f t="shared" si="26"/>
        <v>A</v>
      </c>
      <c r="D220" s="146" t="str">
        <f t="shared" si="27"/>
        <v>1</v>
      </c>
      <c r="E220" s="147" t="s">
        <v>440</v>
      </c>
      <c r="F220" s="147" t="s">
        <v>320</v>
      </c>
      <c r="G220" s="147" t="s">
        <v>325</v>
      </c>
      <c r="H220" s="148" t="s">
        <v>279</v>
      </c>
      <c r="I220" s="316">
        <v>25036</v>
      </c>
      <c r="J220" s="170">
        <f t="shared" si="28"/>
        <v>0</v>
      </c>
      <c r="K220" s="168" t="str">
        <f t="shared" si="29"/>
        <v xml:space="preserve"> </v>
      </c>
      <c r="L220" s="147"/>
      <c r="M220" s="147">
        <f>I220</f>
        <v>25036</v>
      </c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32">
        <f t="shared" si="25"/>
        <v>25036</v>
      </c>
      <c r="AE220" s="132">
        <f t="shared" si="30"/>
        <v>25036</v>
      </c>
      <c r="AF220" s="150">
        <f t="shared" si="31"/>
        <v>0</v>
      </c>
    </row>
    <row r="221" spans="1:32" x14ac:dyDescent="0.25">
      <c r="A221" s="315" t="s">
        <v>661</v>
      </c>
      <c r="B221" s="315" t="s">
        <v>813</v>
      </c>
      <c r="C221" s="169" t="str">
        <f t="shared" si="26"/>
        <v>A</v>
      </c>
      <c r="D221" s="146" t="str">
        <f t="shared" si="27"/>
        <v>1</v>
      </c>
      <c r="E221" s="147" t="s">
        <v>440</v>
      </c>
      <c r="F221" s="147" t="s">
        <v>320</v>
      </c>
      <c r="G221" s="147" t="s">
        <v>325</v>
      </c>
      <c r="H221" s="148" t="s">
        <v>279</v>
      </c>
      <c r="I221" s="316">
        <v>8000</v>
      </c>
      <c r="J221" s="170">
        <f t="shared" si="28"/>
        <v>0</v>
      </c>
      <c r="K221" s="168" t="str">
        <f t="shared" si="29"/>
        <v xml:space="preserve"> </v>
      </c>
      <c r="L221" s="147"/>
      <c r="M221" s="147">
        <f>I221</f>
        <v>8000</v>
      </c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  <c r="AD221" s="132">
        <f t="shared" si="25"/>
        <v>8000</v>
      </c>
      <c r="AE221" s="132">
        <f t="shared" si="30"/>
        <v>8000</v>
      </c>
      <c r="AF221" s="150">
        <f t="shared" si="31"/>
        <v>0</v>
      </c>
    </row>
    <row r="222" spans="1:32" x14ac:dyDescent="0.25">
      <c r="A222" s="315" t="s">
        <v>494</v>
      </c>
      <c r="B222" s="315" t="s">
        <v>976</v>
      </c>
      <c r="C222" s="169" t="str">
        <f t="shared" si="26"/>
        <v>A</v>
      </c>
      <c r="D222" s="146" t="str">
        <f t="shared" si="27"/>
        <v>1</v>
      </c>
      <c r="E222" s="147" t="s">
        <v>440</v>
      </c>
      <c r="F222" s="147" t="s">
        <v>320</v>
      </c>
      <c r="G222" s="147" t="s">
        <v>325</v>
      </c>
      <c r="H222" s="148" t="s">
        <v>279</v>
      </c>
      <c r="I222" s="316">
        <v>1500</v>
      </c>
      <c r="J222" s="170">
        <f t="shared" si="28"/>
        <v>0</v>
      </c>
      <c r="K222" s="168" t="str">
        <f t="shared" si="29"/>
        <v xml:space="preserve"> </v>
      </c>
      <c r="L222" s="147"/>
      <c r="M222" s="147"/>
      <c r="N222" s="147">
        <f>I222</f>
        <v>1500</v>
      </c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  <c r="AD222" s="132">
        <f t="shared" si="25"/>
        <v>1500</v>
      </c>
      <c r="AE222" s="132">
        <f t="shared" si="30"/>
        <v>1500</v>
      </c>
      <c r="AF222" s="150">
        <f t="shared" si="31"/>
        <v>0</v>
      </c>
    </row>
    <row r="223" spans="1:32" x14ac:dyDescent="0.25">
      <c r="A223" s="315" t="s">
        <v>1707</v>
      </c>
      <c r="B223" s="315" t="s">
        <v>532</v>
      </c>
      <c r="C223" s="169" t="str">
        <f t="shared" si="26"/>
        <v>A</v>
      </c>
      <c r="D223" s="146" t="str">
        <f t="shared" si="27"/>
        <v>1</v>
      </c>
      <c r="E223" s="147" t="s">
        <v>440</v>
      </c>
      <c r="F223" s="147" t="s">
        <v>320</v>
      </c>
      <c r="G223" s="147" t="s">
        <v>325</v>
      </c>
      <c r="H223" s="148" t="s">
        <v>279</v>
      </c>
      <c r="I223" s="316">
        <v>1500</v>
      </c>
      <c r="J223" s="170">
        <f t="shared" si="28"/>
        <v>0</v>
      </c>
      <c r="K223" s="168" t="str">
        <f t="shared" si="29"/>
        <v xml:space="preserve"> </v>
      </c>
      <c r="L223" s="147"/>
      <c r="M223" s="147"/>
      <c r="N223" s="147"/>
      <c r="O223" s="147">
        <f>I223</f>
        <v>1500</v>
      </c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32">
        <f t="shared" si="25"/>
        <v>1500</v>
      </c>
      <c r="AE223" s="132">
        <f t="shared" si="30"/>
        <v>1500</v>
      </c>
      <c r="AF223" s="150">
        <f t="shared" si="31"/>
        <v>0</v>
      </c>
    </row>
    <row r="224" spans="1:32" x14ac:dyDescent="0.25">
      <c r="A224" s="315" t="s">
        <v>1558</v>
      </c>
      <c r="B224" s="315" t="s">
        <v>801</v>
      </c>
      <c r="C224" s="169" t="str">
        <f t="shared" si="26"/>
        <v>A</v>
      </c>
      <c r="D224" s="146" t="str">
        <f t="shared" si="27"/>
        <v>1</v>
      </c>
      <c r="E224" s="147" t="s">
        <v>440</v>
      </c>
      <c r="F224" s="147" t="s">
        <v>320</v>
      </c>
      <c r="G224" s="147" t="s">
        <v>325</v>
      </c>
      <c r="H224" s="148" t="s">
        <v>279</v>
      </c>
      <c r="I224" s="316">
        <v>1500</v>
      </c>
      <c r="J224" s="170">
        <f t="shared" si="28"/>
        <v>0</v>
      </c>
      <c r="K224" s="168" t="str">
        <f t="shared" si="29"/>
        <v xml:space="preserve"> </v>
      </c>
      <c r="L224" s="147"/>
      <c r="M224" s="147"/>
      <c r="N224" s="147"/>
      <c r="O224" s="147"/>
      <c r="P224" s="147">
        <f>I224</f>
        <v>1500</v>
      </c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32">
        <f t="shared" si="25"/>
        <v>1500</v>
      </c>
      <c r="AE224" s="132">
        <f t="shared" si="30"/>
        <v>1500</v>
      </c>
      <c r="AF224" s="150">
        <f t="shared" si="31"/>
        <v>0</v>
      </c>
    </row>
    <row r="225" spans="1:32" x14ac:dyDescent="0.25">
      <c r="A225" s="315" t="s">
        <v>868</v>
      </c>
      <c r="B225" s="315" t="s">
        <v>1112</v>
      </c>
      <c r="C225" s="169" t="str">
        <f t="shared" si="26"/>
        <v>A</v>
      </c>
      <c r="D225" s="146" t="str">
        <f t="shared" si="27"/>
        <v>1</v>
      </c>
      <c r="E225" s="147" t="s">
        <v>440</v>
      </c>
      <c r="F225" s="147" t="s">
        <v>320</v>
      </c>
      <c r="G225" s="147" t="s">
        <v>325</v>
      </c>
      <c r="H225" s="148" t="s">
        <v>279</v>
      </c>
      <c r="I225" s="316">
        <v>31500</v>
      </c>
      <c r="J225" s="170">
        <f t="shared" si="28"/>
        <v>0</v>
      </c>
      <c r="K225" s="168" t="str">
        <f t="shared" si="29"/>
        <v xml:space="preserve"> </v>
      </c>
      <c r="L225" s="147">
        <f>I225</f>
        <v>31500</v>
      </c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32">
        <f t="shared" si="25"/>
        <v>31500</v>
      </c>
      <c r="AE225" s="132">
        <f t="shared" si="30"/>
        <v>31500</v>
      </c>
      <c r="AF225" s="150">
        <f t="shared" si="31"/>
        <v>0</v>
      </c>
    </row>
    <row r="226" spans="1:32" x14ac:dyDescent="0.25">
      <c r="A226" s="315" t="s">
        <v>1014</v>
      </c>
      <c r="B226" s="315" t="s">
        <v>482</v>
      </c>
      <c r="C226" s="169" t="str">
        <f t="shared" si="26"/>
        <v>A</v>
      </c>
      <c r="D226" s="146" t="str">
        <f t="shared" si="27"/>
        <v>2</v>
      </c>
      <c r="E226" s="147" t="s">
        <v>440</v>
      </c>
      <c r="F226" s="147" t="s">
        <v>323</v>
      </c>
      <c r="G226" s="147" t="s">
        <v>325</v>
      </c>
      <c r="H226" s="148" t="s">
        <v>279</v>
      </c>
      <c r="I226" s="316">
        <v>292</v>
      </c>
      <c r="J226" s="170">
        <f t="shared" si="28"/>
        <v>0</v>
      </c>
      <c r="K226" s="168" t="str">
        <f t="shared" si="29"/>
        <v xml:space="preserve"> </v>
      </c>
      <c r="L226" s="147">
        <f>I226</f>
        <v>292</v>
      </c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32">
        <f t="shared" si="25"/>
        <v>292</v>
      </c>
      <c r="AE226" s="132">
        <f t="shared" si="30"/>
        <v>292</v>
      </c>
      <c r="AF226" s="150">
        <f t="shared" si="31"/>
        <v>0</v>
      </c>
    </row>
    <row r="227" spans="1:32" x14ac:dyDescent="0.25">
      <c r="A227" s="315" t="s">
        <v>729</v>
      </c>
      <c r="B227" s="315" t="s">
        <v>1279</v>
      </c>
      <c r="C227" s="169" t="str">
        <f t="shared" si="26"/>
        <v>A</v>
      </c>
      <c r="D227" s="146" t="str">
        <f t="shared" si="27"/>
        <v>2</v>
      </c>
      <c r="E227" s="147" t="s">
        <v>440</v>
      </c>
      <c r="F227" s="147" t="s">
        <v>323</v>
      </c>
      <c r="G227" s="147" t="s">
        <v>325</v>
      </c>
      <c r="H227" s="148" t="s">
        <v>279</v>
      </c>
      <c r="I227" s="316">
        <v>200</v>
      </c>
      <c r="J227" s="170">
        <f t="shared" si="28"/>
        <v>0</v>
      </c>
      <c r="K227" s="168" t="str">
        <f t="shared" si="29"/>
        <v xml:space="preserve"> </v>
      </c>
      <c r="L227" s="147">
        <f>I227</f>
        <v>200</v>
      </c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  <c r="AA227" s="147"/>
      <c r="AB227" s="147"/>
      <c r="AC227" s="147"/>
      <c r="AD227" s="132">
        <f t="shared" si="25"/>
        <v>200</v>
      </c>
      <c r="AE227" s="132">
        <f t="shared" si="30"/>
        <v>200</v>
      </c>
      <c r="AF227" s="150">
        <f t="shared" si="31"/>
        <v>0</v>
      </c>
    </row>
    <row r="228" spans="1:32" x14ac:dyDescent="0.25">
      <c r="A228" s="315" t="s">
        <v>587</v>
      </c>
      <c r="B228" s="315" t="s">
        <v>1307</v>
      </c>
      <c r="C228" s="169" t="str">
        <f t="shared" si="26"/>
        <v>A</v>
      </c>
      <c r="D228" s="146" t="str">
        <f t="shared" si="27"/>
        <v>2</v>
      </c>
      <c r="E228" s="147" t="s">
        <v>440</v>
      </c>
      <c r="F228" s="147" t="s">
        <v>323</v>
      </c>
      <c r="G228" s="147" t="s">
        <v>325</v>
      </c>
      <c r="H228" s="148" t="s">
        <v>279</v>
      </c>
      <c r="I228" s="316">
        <v>2400</v>
      </c>
      <c r="J228" s="170">
        <f t="shared" si="28"/>
        <v>0</v>
      </c>
      <c r="K228" s="168" t="str">
        <f t="shared" si="29"/>
        <v xml:space="preserve"> </v>
      </c>
      <c r="L228" s="147">
        <f>I228</f>
        <v>2400</v>
      </c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  <c r="AD228" s="132">
        <f t="shared" si="25"/>
        <v>2400</v>
      </c>
      <c r="AE228" s="132">
        <f t="shared" si="30"/>
        <v>2400</v>
      </c>
      <c r="AF228" s="150">
        <f t="shared" si="31"/>
        <v>0</v>
      </c>
    </row>
    <row r="229" spans="1:32" x14ac:dyDescent="0.25">
      <c r="A229" s="315" t="s">
        <v>1255</v>
      </c>
      <c r="B229" s="315" t="s">
        <v>1706</v>
      </c>
      <c r="C229" s="169" t="str">
        <f t="shared" si="26"/>
        <v>A</v>
      </c>
      <c r="D229" s="146" t="str">
        <f t="shared" si="27"/>
        <v>2</v>
      </c>
      <c r="E229" s="147" t="s">
        <v>440</v>
      </c>
      <c r="F229" s="147" t="s">
        <v>323</v>
      </c>
      <c r="G229" s="147" t="s">
        <v>325</v>
      </c>
      <c r="H229" s="148" t="s">
        <v>279</v>
      </c>
      <c r="I229" s="316">
        <v>240</v>
      </c>
      <c r="J229" s="170">
        <f t="shared" si="28"/>
        <v>0</v>
      </c>
      <c r="K229" s="168" t="str">
        <f t="shared" si="29"/>
        <v xml:space="preserve"> </v>
      </c>
      <c r="L229" s="147"/>
      <c r="M229" s="147">
        <f>I229</f>
        <v>240</v>
      </c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147"/>
      <c r="AC229" s="147"/>
      <c r="AD229" s="132">
        <f t="shared" si="25"/>
        <v>240</v>
      </c>
      <c r="AE229" s="132">
        <f t="shared" si="30"/>
        <v>240</v>
      </c>
      <c r="AF229" s="150">
        <f t="shared" si="31"/>
        <v>0</v>
      </c>
    </row>
    <row r="230" spans="1:32" x14ac:dyDescent="0.25">
      <c r="A230" s="315" t="s">
        <v>1251</v>
      </c>
      <c r="B230" s="315" t="s">
        <v>997</v>
      </c>
      <c r="C230" s="169" t="str">
        <f t="shared" si="26"/>
        <v>A</v>
      </c>
      <c r="D230" s="146" t="str">
        <f t="shared" si="27"/>
        <v>2</v>
      </c>
      <c r="E230" s="147" t="s">
        <v>440</v>
      </c>
      <c r="F230" s="147" t="s">
        <v>323</v>
      </c>
      <c r="G230" s="147" t="s">
        <v>325</v>
      </c>
      <c r="H230" s="148" t="s">
        <v>279</v>
      </c>
      <c r="I230" s="316">
        <v>0</v>
      </c>
      <c r="J230" s="170">
        <f t="shared" si="28"/>
        <v>0</v>
      </c>
      <c r="K230" s="168" t="str">
        <f t="shared" si="29"/>
        <v xml:space="preserve"> </v>
      </c>
      <c r="L230" s="147"/>
      <c r="M230" s="147">
        <f>I230</f>
        <v>0</v>
      </c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  <c r="AA230" s="147"/>
      <c r="AB230" s="147"/>
      <c r="AC230" s="147"/>
      <c r="AD230" s="132">
        <f t="shared" si="25"/>
        <v>0</v>
      </c>
      <c r="AE230" s="132">
        <f t="shared" si="30"/>
        <v>0</v>
      </c>
      <c r="AF230" s="150">
        <f t="shared" si="31"/>
        <v>0</v>
      </c>
    </row>
    <row r="231" spans="1:32" x14ac:dyDescent="0.25">
      <c r="A231" s="315" t="s">
        <v>1317</v>
      </c>
      <c r="B231" s="315" t="s">
        <v>1590</v>
      </c>
      <c r="C231" s="169" t="str">
        <f t="shared" si="26"/>
        <v>A</v>
      </c>
      <c r="D231" s="146" t="str">
        <f t="shared" si="27"/>
        <v>2</v>
      </c>
      <c r="E231" s="147" t="s">
        <v>440</v>
      </c>
      <c r="F231" s="147" t="s">
        <v>323</v>
      </c>
      <c r="G231" s="147" t="s">
        <v>325</v>
      </c>
      <c r="H231" s="148" t="s">
        <v>279</v>
      </c>
      <c r="I231" s="316">
        <v>560</v>
      </c>
      <c r="J231" s="170">
        <f t="shared" si="28"/>
        <v>0</v>
      </c>
      <c r="K231" s="168" t="str">
        <f t="shared" si="29"/>
        <v xml:space="preserve"> </v>
      </c>
      <c r="L231" s="147"/>
      <c r="M231" s="147">
        <f>I231</f>
        <v>560</v>
      </c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  <c r="AD231" s="132">
        <f t="shared" si="25"/>
        <v>560</v>
      </c>
      <c r="AE231" s="132">
        <f t="shared" si="30"/>
        <v>560</v>
      </c>
      <c r="AF231" s="150">
        <f t="shared" si="31"/>
        <v>0</v>
      </c>
    </row>
    <row r="232" spans="1:32" x14ac:dyDescent="0.25">
      <c r="A232" s="315" t="s">
        <v>1278</v>
      </c>
      <c r="B232" s="315" t="s">
        <v>1357</v>
      </c>
      <c r="C232" s="169" t="str">
        <f t="shared" si="26"/>
        <v>A</v>
      </c>
      <c r="D232" s="146" t="str">
        <f t="shared" si="27"/>
        <v>2</v>
      </c>
      <c r="E232" s="147" t="s">
        <v>440</v>
      </c>
      <c r="F232" s="147" t="s">
        <v>323</v>
      </c>
      <c r="G232" s="147" t="s">
        <v>325</v>
      </c>
      <c r="H232" s="148" t="s">
        <v>279</v>
      </c>
      <c r="I232" s="316">
        <v>424</v>
      </c>
      <c r="J232" s="170">
        <f t="shared" si="28"/>
        <v>0</v>
      </c>
      <c r="K232" s="168" t="str">
        <f t="shared" si="29"/>
        <v xml:space="preserve"> </v>
      </c>
      <c r="L232" s="147"/>
      <c r="M232" s="147">
        <f>I232</f>
        <v>424</v>
      </c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32">
        <f t="shared" si="25"/>
        <v>424</v>
      </c>
      <c r="AE232" s="132">
        <f t="shared" si="30"/>
        <v>424</v>
      </c>
      <c r="AF232" s="150">
        <f t="shared" si="31"/>
        <v>0</v>
      </c>
    </row>
    <row r="233" spans="1:32" x14ac:dyDescent="0.25">
      <c r="A233" s="315" t="s">
        <v>873</v>
      </c>
      <c r="B233" s="315" t="s">
        <v>1381</v>
      </c>
      <c r="C233" s="169" t="str">
        <f t="shared" si="26"/>
        <v>A</v>
      </c>
      <c r="D233" s="146" t="str">
        <f t="shared" si="27"/>
        <v>2</v>
      </c>
      <c r="E233" s="147" t="s">
        <v>440</v>
      </c>
      <c r="F233" s="147" t="s">
        <v>323</v>
      </c>
      <c r="G233" s="147" t="s">
        <v>325</v>
      </c>
      <c r="H233" s="148" t="s">
        <v>279</v>
      </c>
      <c r="I233" s="316">
        <v>120</v>
      </c>
      <c r="J233" s="170">
        <f t="shared" si="28"/>
        <v>0</v>
      </c>
      <c r="K233" s="168" t="str">
        <f t="shared" si="29"/>
        <v xml:space="preserve"> </v>
      </c>
      <c r="L233" s="147"/>
      <c r="M233" s="147"/>
      <c r="N233" s="147">
        <f>I233</f>
        <v>120</v>
      </c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  <c r="AA233" s="147"/>
      <c r="AB233" s="147"/>
      <c r="AC233" s="147"/>
      <c r="AD233" s="132">
        <f t="shared" si="25"/>
        <v>120</v>
      </c>
      <c r="AE233" s="132">
        <f t="shared" si="30"/>
        <v>120</v>
      </c>
      <c r="AF233" s="150">
        <f t="shared" si="31"/>
        <v>0</v>
      </c>
    </row>
    <row r="234" spans="1:32" x14ac:dyDescent="0.25">
      <c r="A234" s="315" t="s">
        <v>1576</v>
      </c>
      <c r="B234" s="315" t="s">
        <v>1583</v>
      </c>
      <c r="C234" s="169" t="str">
        <f t="shared" si="26"/>
        <v>A</v>
      </c>
      <c r="D234" s="146" t="str">
        <f t="shared" si="27"/>
        <v>2</v>
      </c>
      <c r="E234" s="147" t="s">
        <v>440</v>
      </c>
      <c r="F234" s="147" t="s">
        <v>323</v>
      </c>
      <c r="G234" s="147" t="s">
        <v>325</v>
      </c>
      <c r="H234" s="148" t="s">
        <v>279</v>
      </c>
      <c r="I234" s="316">
        <v>2000</v>
      </c>
      <c r="J234" s="170">
        <f t="shared" si="28"/>
        <v>0</v>
      </c>
      <c r="K234" s="168" t="str">
        <f t="shared" si="29"/>
        <v xml:space="preserve"> </v>
      </c>
      <c r="L234" s="147"/>
      <c r="M234" s="147"/>
      <c r="N234" s="147">
        <f>I234</f>
        <v>2000</v>
      </c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  <c r="AA234" s="147"/>
      <c r="AB234" s="147"/>
      <c r="AC234" s="147"/>
      <c r="AD234" s="132">
        <f t="shared" si="25"/>
        <v>2000</v>
      </c>
      <c r="AE234" s="132">
        <f t="shared" si="30"/>
        <v>2000</v>
      </c>
      <c r="AF234" s="150">
        <f t="shared" si="31"/>
        <v>0</v>
      </c>
    </row>
    <row r="235" spans="1:32" x14ac:dyDescent="0.25">
      <c r="A235" s="315" t="s">
        <v>795</v>
      </c>
      <c r="B235" s="315" t="s">
        <v>570</v>
      </c>
      <c r="C235" s="169" t="str">
        <f t="shared" si="26"/>
        <v>A</v>
      </c>
      <c r="D235" s="146" t="str">
        <f t="shared" si="27"/>
        <v>2</v>
      </c>
      <c r="E235" s="147" t="s">
        <v>440</v>
      </c>
      <c r="F235" s="147" t="s">
        <v>323</v>
      </c>
      <c r="G235" s="147" t="s">
        <v>325</v>
      </c>
      <c r="H235" s="148" t="s">
        <v>279</v>
      </c>
      <c r="I235" s="316">
        <v>3200</v>
      </c>
      <c r="J235" s="170">
        <f t="shared" si="28"/>
        <v>0</v>
      </c>
      <c r="K235" s="168" t="str">
        <f t="shared" si="29"/>
        <v xml:space="preserve"> </v>
      </c>
      <c r="L235" s="147"/>
      <c r="M235" s="147"/>
      <c r="N235" s="147"/>
      <c r="O235" s="147">
        <f>I235</f>
        <v>3200</v>
      </c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  <c r="AD235" s="132">
        <f t="shared" si="25"/>
        <v>3200</v>
      </c>
      <c r="AE235" s="132">
        <f t="shared" si="30"/>
        <v>3200</v>
      </c>
      <c r="AF235" s="150">
        <f t="shared" si="31"/>
        <v>0</v>
      </c>
    </row>
    <row r="236" spans="1:32" x14ac:dyDescent="0.25">
      <c r="A236" s="315" t="s">
        <v>1374</v>
      </c>
      <c r="B236" s="315" t="s">
        <v>1120</v>
      </c>
      <c r="C236" s="169" t="str">
        <f t="shared" si="26"/>
        <v>A</v>
      </c>
      <c r="D236" s="146" t="str">
        <f t="shared" si="27"/>
        <v>2</v>
      </c>
      <c r="E236" s="147" t="s">
        <v>440</v>
      </c>
      <c r="F236" s="147" t="s">
        <v>323</v>
      </c>
      <c r="G236" s="147" t="s">
        <v>325</v>
      </c>
      <c r="H236" s="148" t="s">
        <v>279</v>
      </c>
      <c r="I236" s="316">
        <v>136</v>
      </c>
      <c r="J236" s="170">
        <f t="shared" si="28"/>
        <v>0</v>
      </c>
      <c r="K236" s="168" t="str">
        <f t="shared" si="29"/>
        <v xml:space="preserve"> </v>
      </c>
      <c r="L236" s="147">
        <f>I236</f>
        <v>136</v>
      </c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  <c r="AD236" s="132">
        <f t="shared" si="25"/>
        <v>136</v>
      </c>
      <c r="AE236" s="132">
        <f t="shared" si="30"/>
        <v>136</v>
      </c>
      <c r="AF236" s="150">
        <f t="shared" si="31"/>
        <v>0</v>
      </c>
    </row>
    <row r="237" spans="1:32" x14ac:dyDescent="0.25">
      <c r="A237" s="315" t="s">
        <v>1372</v>
      </c>
      <c r="B237" s="315" t="s">
        <v>1045</v>
      </c>
      <c r="C237" s="169" t="str">
        <f t="shared" si="26"/>
        <v>A</v>
      </c>
      <c r="D237" s="146" t="str">
        <f t="shared" si="27"/>
        <v>2</v>
      </c>
      <c r="E237" s="147" t="s">
        <v>440</v>
      </c>
      <c r="F237" s="147" t="s">
        <v>323</v>
      </c>
      <c r="G237" s="147" t="s">
        <v>325</v>
      </c>
      <c r="H237" s="148" t="s">
        <v>279</v>
      </c>
      <c r="I237" s="316">
        <v>720</v>
      </c>
      <c r="J237" s="170">
        <f t="shared" si="28"/>
        <v>0</v>
      </c>
      <c r="K237" s="168" t="str">
        <f t="shared" si="29"/>
        <v xml:space="preserve"> </v>
      </c>
      <c r="L237" s="147">
        <f>I237</f>
        <v>720</v>
      </c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  <c r="AA237" s="147"/>
      <c r="AB237" s="147"/>
      <c r="AC237" s="147"/>
      <c r="AD237" s="132">
        <f t="shared" si="25"/>
        <v>720</v>
      </c>
      <c r="AE237" s="132">
        <f t="shared" si="30"/>
        <v>720</v>
      </c>
      <c r="AF237" s="150">
        <f t="shared" si="31"/>
        <v>0</v>
      </c>
    </row>
    <row r="238" spans="1:32" x14ac:dyDescent="0.25">
      <c r="A238" s="315" t="s">
        <v>1499</v>
      </c>
      <c r="B238" s="315" t="s">
        <v>1053</v>
      </c>
      <c r="C238" s="169" t="str">
        <f t="shared" si="26"/>
        <v>A</v>
      </c>
      <c r="D238" s="146" t="str">
        <f t="shared" si="27"/>
        <v>2</v>
      </c>
      <c r="E238" s="147" t="s">
        <v>440</v>
      </c>
      <c r="F238" s="147" t="s">
        <v>323</v>
      </c>
      <c r="G238" s="147" t="s">
        <v>325</v>
      </c>
      <c r="H238" s="148" t="s">
        <v>279</v>
      </c>
      <c r="I238" s="316">
        <v>720</v>
      </c>
      <c r="J238" s="170">
        <f t="shared" si="28"/>
        <v>0</v>
      </c>
      <c r="K238" s="168" t="str">
        <f t="shared" si="29"/>
        <v xml:space="preserve"> </v>
      </c>
      <c r="L238" s="147">
        <f>I238</f>
        <v>720</v>
      </c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47"/>
      <c r="AC238" s="147"/>
      <c r="AD238" s="132">
        <f t="shared" si="25"/>
        <v>720</v>
      </c>
      <c r="AE238" s="132">
        <f t="shared" si="30"/>
        <v>720</v>
      </c>
      <c r="AF238" s="150">
        <f t="shared" si="31"/>
        <v>0</v>
      </c>
    </row>
    <row r="239" spans="1:32" x14ac:dyDescent="0.25">
      <c r="A239" s="315" t="s">
        <v>1649</v>
      </c>
      <c r="B239" s="315" t="s">
        <v>1151</v>
      </c>
      <c r="C239" s="169" t="str">
        <f t="shared" si="26"/>
        <v>A</v>
      </c>
      <c r="D239" s="146" t="str">
        <f t="shared" si="27"/>
        <v>2</v>
      </c>
      <c r="E239" s="147" t="s">
        <v>440</v>
      </c>
      <c r="F239" s="147" t="s">
        <v>323</v>
      </c>
      <c r="G239" s="147" t="s">
        <v>325</v>
      </c>
      <c r="H239" s="148" t="s">
        <v>279</v>
      </c>
      <c r="I239" s="316">
        <v>800</v>
      </c>
      <c r="J239" s="170">
        <f t="shared" si="28"/>
        <v>0</v>
      </c>
      <c r="K239" s="168" t="str">
        <f t="shared" si="29"/>
        <v xml:space="preserve"> </v>
      </c>
      <c r="L239" s="147">
        <f>I239</f>
        <v>800</v>
      </c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32">
        <f t="shared" si="25"/>
        <v>800</v>
      </c>
      <c r="AE239" s="132">
        <f t="shared" si="30"/>
        <v>800</v>
      </c>
      <c r="AF239" s="150">
        <f t="shared" si="31"/>
        <v>0</v>
      </c>
    </row>
    <row r="240" spans="1:32" x14ac:dyDescent="0.25">
      <c r="A240" s="315" t="s">
        <v>1758</v>
      </c>
      <c r="B240" s="315" t="s">
        <v>1514</v>
      </c>
      <c r="C240" s="169" t="str">
        <f t="shared" si="26"/>
        <v>A</v>
      </c>
      <c r="D240" s="146" t="str">
        <f t="shared" si="27"/>
        <v>2</v>
      </c>
      <c r="E240" s="147" t="s">
        <v>440</v>
      </c>
      <c r="F240" s="147" t="s">
        <v>323</v>
      </c>
      <c r="G240" s="147" t="s">
        <v>325</v>
      </c>
      <c r="H240" s="148" t="s">
        <v>279</v>
      </c>
      <c r="I240" s="316">
        <v>1600</v>
      </c>
      <c r="J240" s="170">
        <f t="shared" si="28"/>
        <v>0</v>
      </c>
      <c r="K240" s="168" t="str">
        <f t="shared" si="29"/>
        <v xml:space="preserve"> </v>
      </c>
      <c r="L240" s="147">
        <f>I240</f>
        <v>1600</v>
      </c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  <c r="AA240" s="147"/>
      <c r="AB240" s="147"/>
      <c r="AC240" s="147"/>
      <c r="AD240" s="132">
        <f t="shared" si="25"/>
        <v>1600</v>
      </c>
      <c r="AE240" s="132">
        <f t="shared" si="30"/>
        <v>1600</v>
      </c>
      <c r="AF240" s="150">
        <f t="shared" si="31"/>
        <v>0</v>
      </c>
    </row>
    <row r="241" spans="1:32" ht="21" customHeight="1" x14ac:dyDescent="0.25">
      <c r="A241" s="315" t="s">
        <v>645</v>
      </c>
      <c r="B241" s="315" t="s">
        <v>838</v>
      </c>
      <c r="C241" s="169" t="str">
        <f t="shared" si="26"/>
        <v>A</v>
      </c>
      <c r="D241" s="146" t="str">
        <f t="shared" si="27"/>
        <v>2</v>
      </c>
      <c r="E241" s="147" t="s">
        <v>440</v>
      </c>
      <c r="F241" s="147" t="s">
        <v>323</v>
      </c>
      <c r="G241" s="147" t="s">
        <v>325</v>
      </c>
      <c r="H241" s="148" t="s">
        <v>279</v>
      </c>
      <c r="I241" s="316">
        <v>80</v>
      </c>
      <c r="J241" s="170">
        <f t="shared" si="28"/>
        <v>0</v>
      </c>
      <c r="K241" s="168" t="str">
        <f t="shared" si="29"/>
        <v xml:space="preserve"> </v>
      </c>
      <c r="L241" s="147"/>
      <c r="M241" s="147">
        <f>I241</f>
        <v>80</v>
      </c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  <c r="AD241" s="132">
        <f t="shared" si="25"/>
        <v>80</v>
      </c>
      <c r="AE241" s="132">
        <f t="shared" si="30"/>
        <v>80</v>
      </c>
      <c r="AF241" s="150">
        <f t="shared" si="31"/>
        <v>0</v>
      </c>
    </row>
    <row r="242" spans="1:32" ht="20.25" customHeight="1" x14ac:dyDescent="0.25">
      <c r="A242" s="315" t="s">
        <v>595</v>
      </c>
      <c r="B242" s="315" t="s">
        <v>1719</v>
      </c>
      <c r="C242" s="169" t="str">
        <f t="shared" si="26"/>
        <v>A</v>
      </c>
      <c r="D242" s="146" t="str">
        <f t="shared" si="27"/>
        <v>2</v>
      </c>
      <c r="E242" s="147" t="s">
        <v>440</v>
      </c>
      <c r="F242" s="147" t="s">
        <v>323</v>
      </c>
      <c r="G242" s="147" t="s">
        <v>325</v>
      </c>
      <c r="H242" s="148" t="s">
        <v>279</v>
      </c>
      <c r="I242" s="316">
        <v>688</v>
      </c>
      <c r="J242" s="170">
        <f t="shared" si="28"/>
        <v>0</v>
      </c>
      <c r="K242" s="168" t="str">
        <f t="shared" si="29"/>
        <v xml:space="preserve"> </v>
      </c>
      <c r="L242" s="147"/>
      <c r="M242" s="147">
        <f>I242</f>
        <v>688</v>
      </c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  <c r="AD242" s="132">
        <f t="shared" si="25"/>
        <v>688</v>
      </c>
      <c r="AE242" s="132">
        <f t="shared" si="30"/>
        <v>688</v>
      </c>
      <c r="AF242" s="150">
        <f t="shared" si="31"/>
        <v>0</v>
      </c>
    </row>
    <row r="243" spans="1:32" x14ac:dyDescent="0.25">
      <c r="A243" s="315" t="s">
        <v>531</v>
      </c>
      <c r="B243" s="315" t="s">
        <v>1029</v>
      </c>
      <c r="C243" s="169" t="str">
        <f t="shared" si="26"/>
        <v>A</v>
      </c>
      <c r="D243" s="146" t="str">
        <f t="shared" si="27"/>
        <v>2</v>
      </c>
      <c r="E243" s="147" t="s">
        <v>440</v>
      </c>
      <c r="F243" s="147" t="s">
        <v>323</v>
      </c>
      <c r="G243" s="147" t="s">
        <v>325</v>
      </c>
      <c r="H243" s="148" t="s">
        <v>279</v>
      </c>
      <c r="I243" s="316">
        <v>360</v>
      </c>
      <c r="J243" s="170">
        <f t="shared" si="28"/>
        <v>0</v>
      </c>
      <c r="K243" s="168" t="str">
        <f t="shared" si="29"/>
        <v xml:space="preserve"> </v>
      </c>
      <c r="L243" s="147"/>
      <c r="M243" s="147">
        <f>I243</f>
        <v>360</v>
      </c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  <c r="AA243" s="147"/>
      <c r="AB243" s="147"/>
      <c r="AC243" s="147"/>
      <c r="AD243" s="132">
        <f t="shared" si="25"/>
        <v>360</v>
      </c>
      <c r="AE243" s="132">
        <f t="shared" si="30"/>
        <v>360</v>
      </c>
      <c r="AF243" s="150">
        <f t="shared" si="31"/>
        <v>0</v>
      </c>
    </row>
    <row r="244" spans="1:32" x14ac:dyDescent="0.25">
      <c r="A244" s="315" t="s">
        <v>1660</v>
      </c>
      <c r="B244" s="315" t="s">
        <v>1555</v>
      </c>
      <c r="C244" s="169" t="str">
        <f t="shared" si="26"/>
        <v>A</v>
      </c>
      <c r="D244" s="146" t="str">
        <f t="shared" si="27"/>
        <v>2</v>
      </c>
      <c r="E244" s="147" t="s">
        <v>440</v>
      </c>
      <c r="F244" s="147" t="s">
        <v>323</v>
      </c>
      <c r="G244" s="147" t="s">
        <v>325</v>
      </c>
      <c r="H244" s="148" t="s">
        <v>279</v>
      </c>
      <c r="I244" s="316">
        <v>720</v>
      </c>
      <c r="J244" s="170">
        <f t="shared" si="28"/>
        <v>0</v>
      </c>
      <c r="K244" s="168" t="str">
        <f t="shared" si="29"/>
        <v xml:space="preserve"> </v>
      </c>
      <c r="L244" s="147"/>
      <c r="M244" s="147">
        <f>I244</f>
        <v>720</v>
      </c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  <c r="AD244" s="132">
        <f t="shared" si="25"/>
        <v>720</v>
      </c>
      <c r="AE244" s="132">
        <f t="shared" si="30"/>
        <v>720</v>
      </c>
      <c r="AF244" s="150">
        <f t="shared" si="31"/>
        <v>0</v>
      </c>
    </row>
    <row r="245" spans="1:32" x14ac:dyDescent="0.25">
      <c r="A245" s="315" t="s">
        <v>572</v>
      </c>
      <c r="B245" s="315" t="s">
        <v>668</v>
      </c>
      <c r="C245" s="169" t="str">
        <f t="shared" si="26"/>
        <v>A</v>
      </c>
      <c r="D245" s="146" t="str">
        <f t="shared" si="27"/>
        <v>2</v>
      </c>
      <c r="E245" s="147" t="s">
        <v>440</v>
      </c>
      <c r="F245" s="147" t="s">
        <v>323</v>
      </c>
      <c r="G245" s="147" t="s">
        <v>325</v>
      </c>
      <c r="H245" s="148" t="s">
        <v>279</v>
      </c>
      <c r="I245" s="316">
        <v>1224</v>
      </c>
      <c r="J245" s="170">
        <f t="shared" si="28"/>
        <v>0</v>
      </c>
      <c r="K245" s="168" t="str">
        <f t="shared" si="29"/>
        <v xml:space="preserve"> </v>
      </c>
      <c r="L245" s="147"/>
      <c r="M245" s="147">
        <f>I245</f>
        <v>1224</v>
      </c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  <c r="AA245" s="147"/>
      <c r="AB245" s="147"/>
      <c r="AC245" s="147"/>
      <c r="AD245" s="132">
        <f t="shared" si="25"/>
        <v>1224</v>
      </c>
      <c r="AE245" s="132">
        <f t="shared" si="30"/>
        <v>1224</v>
      </c>
      <c r="AF245" s="150">
        <f t="shared" si="31"/>
        <v>0</v>
      </c>
    </row>
    <row r="246" spans="1:32" x14ac:dyDescent="0.25">
      <c r="A246" s="315" t="s">
        <v>550</v>
      </c>
      <c r="B246" s="315" t="s">
        <v>1293</v>
      </c>
      <c r="C246" s="169" t="str">
        <f t="shared" si="26"/>
        <v>A</v>
      </c>
      <c r="D246" s="146" t="str">
        <f t="shared" si="27"/>
        <v>2</v>
      </c>
      <c r="E246" s="147" t="s">
        <v>440</v>
      </c>
      <c r="F246" s="147" t="s">
        <v>323</v>
      </c>
      <c r="G246" s="147" t="s">
        <v>325</v>
      </c>
      <c r="H246" s="148" t="s">
        <v>279</v>
      </c>
      <c r="I246" s="316">
        <v>800</v>
      </c>
      <c r="J246" s="170">
        <f t="shared" si="28"/>
        <v>0</v>
      </c>
      <c r="K246" s="168" t="str">
        <f t="shared" si="29"/>
        <v xml:space="preserve"> </v>
      </c>
      <c r="L246" s="147"/>
      <c r="M246" s="147"/>
      <c r="N246" s="147">
        <f>I246</f>
        <v>800</v>
      </c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  <c r="AA246" s="147"/>
      <c r="AB246" s="147"/>
      <c r="AC246" s="147"/>
      <c r="AD246" s="132">
        <f t="shared" si="25"/>
        <v>800</v>
      </c>
      <c r="AE246" s="132">
        <f t="shared" si="30"/>
        <v>800</v>
      </c>
      <c r="AF246" s="150">
        <f t="shared" si="31"/>
        <v>0</v>
      </c>
    </row>
    <row r="247" spans="1:32" x14ac:dyDescent="0.25">
      <c r="A247" s="315" t="s">
        <v>750</v>
      </c>
      <c r="B247" s="315" t="s">
        <v>951</v>
      </c>
      <c r="C247" s="169" t="str">
        <f t="shared" si="26"/>
        <v>A</v>
      </c>
      <c r="D247" s="146" t="str">
        <f t="shared" si="27"/>
        <v>2</v>
      </c>
      <c r="E247" s="147" t="s">
        <v>440</v>
      </c>
      <c r="F247" s="147" t="s">
        <v>323</v>
      </c>
      <c r="G247" s="147" t="s">
        <v>325</v>
      </c>
      <c r="H247" s="148" t="s">
        <v>279</v>
      </c>
      <c r="I247" s="316">
        <v>500</v>
      </c>
      <c r="J247" s="170">
        <f t="shared" si="28"/>
        <v>0</v>
      </c>
      <c r="K247" s="168" t="str">
        <f t="shared" si="29"/>
        <v xml:space="preserve"> </v>
      </c>
      <c r="L247" s="147"/>
      <c r="M247" s="147"/>
      <c r="N247" s="147"/>
      <c r="O247" s="147">
        <f>I247</f>
        <v>500</v>
      </c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32">
        <f t="shared" si="25"/>
        <v>500</v>
      </c>
      <c r="AE247" s="132">
        <f t="shared" si="30"/>
        <v>500</v>
      </c>
      <c r="AF247" s="150">
        <f t="shared" si="31"/>
        <v>0</v>
      </c>
    </row>
    <row r="248" spans="1:32" x14ac:dyDescent="0.25">
      <c r="A248" s="315" t="s">
        <v>1360</v>
      </c>
      <c r="B248" s="315" t="s">
        <v>881</v>
      </c>
      <c r="C248" s="169" t="str">
        <f t="shared" si="26"/>
        <v>A</v>
      </c>
      <c r="D248" s="146" t="str">
        <f t="shared" si="27"/>
        <v>2</v>
      </c>
      <c r="E248" s="147" t="s">
        <v>440</v>
      </c>
      <c r="F248" s="147" t="s">
        <v>323</v>
      </c>
      <c r="G248" s="147" t="s">
        <v>325</v>
      </c>
      <c r="H248" s="148" t="s">
        <v>279</v>
      </c>
      <c r="I248" s="316">
        <v>6960</v>
      </c>
      <c r="J248" s="170">
        <f t="shared" si="28"/>
        <v>0</v>
      </c>
      <c r="K248" s="168" t="str">
        <f t="shared" si="29"/>
        <v xml:space="preserve"> </v>
      </c>
      <c r="L248" s="147"/>
      <c r="M248" s="147"/>
      <c r="N248" s="147"/>
      <c r="O248" s="147">
        <f>I248</f>
        <v>6960</v>
      </c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  <c r="AD248" s="132">
        <f t="shared" si="25"/>
        <v>6960</v>
      </c>
      <c r="AE248" s="132">
        <f t="shared" si="30"/>
        <v>6960</v>
      </c>
      <c r="AF248" s="150">
        <f t="shared" si="31"/>
        <v>0</v>
      </c>
    </row>
    <row r="249" spans="1:32" ht="19.5" customHeight="1" x14ac:dyDescent="0.25">
      <c r="A249" s="315" t="s">
        <v>855</v>
      </c>
      <c r="B249" s="315" t="s">
        <v>1139</v>
      </c>
      <c r="C249" s="169" t="str">
        <f t="shared" si="26"/>
        <v>A</v>
      </c>
      <c r="D249" s="146" t="str">
        <f t="shared" si="27"/>
        <v>2</v>
      </c>
      <c r="E249" s="147" t="s">
        <v>440</v>
      </c>
      <c r="F249" s="147" t="s">
        <v>323</v>
      </c>
      <c r="G249" s="147" t="s">
        <v>325</v>
      </c>
      <c r="H249" s="148" t="s">
        <v>279</v>
      </c>
      <c r="I249" s="316">
        <v>123</v>
      </c>
      <c r="J249" s="170">
        <f t="shared" si="28"/>
        <v>0</v>
      </c>
      <c r="K249" s="168" t="str">
        <f t="shared" si="29"/>
        <v xml:space="preserve"> </v>
      </c>
      <c r="L249" s="147"/>
      <c r="M249" s="147"/>
      <c r="N249" s="147"/>
      <c r="O249" s="147"/>
      <c r="P249" s="147">
        <f>I249</f>
        <v>123</v>
      </c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  <c r="AD249" s="132">
        <f t="shared" si="25"/>
        <v>123</v>
      </c>
      <c r="AE249" s="132">
        <f t="shared" si="30"/>
        <v>123</v>
      </c>
      <c r="AF249" s="150">
        <f t="shared" si="31"/>
        <v>0</v>
      </c>
    </row>
    <row r="250" spans="1:32" x14ac:dyDescent="0.25">
      <c r="A250" s="315" t="s">
        <v>1076</v>
      </c>
      <c r="B250" s="315" t="s">
        <v>1107</v>
      </c>
      <c r="C250" s="169" t="str">
        <f t="shared" si="26"/>
        <v>A</v>
      </c>
      <c r="D250" s="146" t="str">
        <f t="shared" si="27"/>
        <v>2</v>
      </c>
      <c r="E250" s="147" t="s">
        <v>440</v>
      </c>
      <c r="F250" s="147" t="s">
        <v>323</v>
      </c>
      <c r="G250" s="147" t="s">
        <v>325</v>
      </c>
      <c r="H250" s="148" t="s">
        <v>279</v>
      </c>
      <c r="I250" s="316">
        <v>160</v>
      </c>
      <c r="J250" s="170">
        <f t="shared" si="28"/>
        <v>0</v>
      </c>
      <c r="K250" s="168" t="str">
        <f t="shared" si="29"/>
        <v xml:space="preserve"> </v>
      </c>
      <c r="L250" s="147"/>
      <c r="M250" s="147"/>
      <c r="N250" s="147"/>
      <c r="O250" s="147"/>
      <c r="P250" s="147">
        <f>I250</f>
        <v>160</v>
      </c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32">
        <f t="shared" si="25"/>
        <v>160</v>
      </c>
      <c r="AE250" s="132">
        <f t="shared" si="30"/>
        <v>160</v>
      </c>
      <c r="AF250" s="150">
        <f t="shared" si="31"/>
        <v>0</v>
      </c>
    </row>
    <row r="251" spans="1:32" x14ac:dyDescent="0.25">
      <c r="A251" s="315" t="s">
        <v>1704</v>
      </c>
      <c r="B251" s="315" t="s">
        <v>1143</v>
      </c>
      <c r="C251" s="169" t="str">
        <f t="shared" si="26"/>
        <v>A</v>
      </c>
      <c r="D251" s="146" t="str">
        <f t="shared" si="27"/>
        <v>2</v>
      </c>
      <c r="E251" s="147" t="s">
        <v>440</v>
      </c>
      <c r="F251" s="147" t="s">
        <v>323</v>
      </c>
      <c r="G251" s="147" t="s">
        <v>325</v>
      </c>
      <c r="H251" s="148" t="s">
        <v>279</v>
      </c>
      <c r="I251" s="316">
        <v>1100</v>
      </c>
      <c r="J251" s="170">
        <f t="shared" si="28"/>
        <v>0</v>
      </c>
      <c r="K251" s="168" t="str">
        <f t="shared" si="29"/>
        <v xml:space="preserve"> </v>
      </c>
      <c r="L251" s="147">
        <f>$I$251*L7</f>
        <v>358.86780104712045</v>
      </c>
      <c r="M251" s="147">
        <f t="shared" ref="M251:P251" si="32">$I$251*M7</f>
        <v>259.16230366492147</v>
      </c>
      <c r="N251" s="147">
        <f t="shared" si="32"/>
        <v>154.41753926701571</v>
      </c>
      <c r="O251" s="147">
        <f t="shared" si="32"/>
        <v>158.01701570680629</v>
      </c>
      <c r="P251" s="147">
        <f t="shared" si="32"/>
        <v>169.53534031413614</v>
      </c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47"/>
      <c r="AC251" s="147"/>
      <c r="AD251" s="132">
        <f t="shared" si="25"/>
        <v>1100.0000000000002</v>
      </c>
      <c r="AE251" s="132">
        <f t="shared" si="30"/>
        <v>1100.0000000000002</v>
      </c>
      <c r="AF251" s="150">
        <f t="shared" si="31"/>
        <v>0</v>
      </c>
    </row>
    <row r="252" spans="1:32" x14ac:dyDescent="0.25">
      <c r="A252" s="315" t="s">
        <v>1420</v>
      </c>
      <c r="B252" s="315" t="s">
        <v>1062</v>
      </c>
      <c r="C252" s="169" t="str">
        <f t="shared" si="26"/>
        <v>A</v>
      </c>
      <c r="D252" s="146" t="str">
        <f t="shared" si="27"/>
        <v>2</v>
      </c>
      <c r="E252" s="147" t="s">
        <v>440</v>
      </c>
      <c r="F252" s="147" t="s">
        <v>323</v>
      </c>
      <c r="G252" s="147" t="s">
        <v>325</v>
      </c>
      <c r="H252" s="148" t="s">
        <v>279</v>
      </c>
      <c r="I252" s="316">
        <v>800</v>
      </c>
      <c r="J252" s="170">
        <f t="shared" si="28"/>
        <v>0</v>
      </c>
      <c r="K252" s="168" t="str">
        <f t="shared" si="29"/>
        <v xml:space="preserve"> </v>
      </c>
      <c r="L252" s="147"/>
      <c r="M252" s="147"/>
      <c r="N252" s="147"/>
      <c r="O252" s="147"/>
      <c r="P252" s="147">
        <f>I252</f>
        <v>800</v>
      </c>
      <c r="Q252" s="147"/>
      <c r="R252" s="147"/>
      <c r="S252" s="147"/>
      <c r="T252" s="147"/>
      <c r="U252" s="147"/>
      <c r="V252" s="147"/>
      <c r="W252" s="147"/>
      <c r="X252" s="147"/>
      <c r="Y252" s="147"/>
      <c r="Z252" s="147"/>
      <c r="AA252" s="147"/>
      <c r="AB252" s="147"/>
      <c r="AC252" s="147"/>
      <c r="AD252" s="132">
        <f t="shared" si="25"/>
        <v>800</v>
      </c>
      <c r="AE252" s="132">
        <f t="shared" si="30"/>
        <v>800</v>
      </c>
      <c r="AF252" s="150">
        <f t="shared" si="31"/>
        <v>0</v>
      </c>
    </row>
    <row r="253" spans="1:32" x14ac:dyDescent="0.25">
      <c r="A253" s="315" t="s">
        <v>931</v>
      </c>
      <c r="B253" s="315" t="s">
        <v>1311</v>
      </c>
      <c r="C253" s="169" t="str">
        <f t="shared" si="26"/>
        <v>A</v>
      </c>
      <c r="D253" s="146" t="str">
        <f t="shared" si="27"/>
        <v>2</v>
      </c>
      <c r="E253" s="147" t="s">
        <v>440</v>
      </c>
      <c r="F253" s="147" t="s">
        <v>323</v>
      </c>
      <c r="G253" s="147" t="s">
        <v>325</v>
      </c>
      <c r="H253" s="148" t="s">
        <v>279</v>
      </c>
      <c r="I253" s="316">
        <v>4800</v>
      </c>
      <c r="J253" s="170">
        <f t="shared" si="28"/>
        <v>0</v>
      </c>
      <c r="K253" s="168" t="str">
        <f t="shared" si="29"/>
        <v xml:space="preserve"> </v>
      </c>
      <c r="L253" s="147">
        <f>I253</f>
        <v>4800</v>
      </c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32">
        <f t="shared" si="25"/>
        <v>4800</v>
      </c>
      <c r="AE253" s="132">
        <f t="shared" si="30"/>
        <v>4800</v>
      </c>
      <c r="AF253" s="150">
        <f t="shared" si="31"/>
        <v>0</v>
      </c>
    </row>
    <row r="254" spans="1:32" x14ac:dyDescent="0.25">
      <c r="A254" s="315" t="s">
        <v>1488</v>
      </c>
      <c r="B254" s="315" t="s">
        <v>1530</v>
      </c>
      <c r="C254" s="169" t="str">
        <f t="shared" si="26"/>
        <v>A</v>
      </c>
      <c r="D254" s="146" t="str">
        <f t="shared" si="27"/>
        <v>2</v>
      </c>
      <c r="E254" s="147" t="s">
        <v>440</v>
      </c>
      <c r="F254" s="147" t="s">
        <v>323</v>
      </c>
      <c r="G254" s="147" t="s">
        <v>325</v>
      </c>
      <c r="H254" s="148" t="s">
        <v>279</v>
      </c>
      <c r="I254" s="316">
        <v>320</v>
      </c>
      <c r="J254" s="170">
        <f t="shared" si="28"/>
        <v>0</v>
      </c>
      <c r="K254" s="168" t="str">
        <f t="shared" si="29"/>
        <v xml:space="preserve"> </v>
      </c>
      <c r="L254" s="147"/>
      <c r="M254" s="147">
        <f>I254</f>
        <v>320</v>
      </c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  <c r="AA254" s="147"/>
      <c r="AB254" s="147"/>
      <c r="AC254" s="147"/>
      <c r="AD254" s="132">
        <f t="shared" si="25"/>
        <v>320</v>
      </c>
      <c r="AE254" s="132">
        <f t="shared" si="30"/>
        <v>320</v>
      </c>
      <c r="AF254" s="150">
        <f t="shared" si="31"/>
        <v>0</v>
      </c>
    </row>
    <row r="255" spans="1:32" x14ac:dyDescent="0.25">
      <c r="A255" s="315" t="s">
        <v>1608</v>
      </c>
      <c r="B255" s="315" t="s">
        <v>1028</v>
      </c>
      <c r="C255" s="169" t="str">
        <f t="shared" si="26"/>
        <v>A</v>
      </c>
      <c r="D255" s="146" t="str">
        <f t="shared" si="27"/>
        <v>2</v>
      </c>
      <c r="E255" s="147" t="s">
        <v>440</v>
      </c>
      <c r="F255" s="147" t="s">
        <v>323</v>
      </c>
      <c r="G255" s="147" t="s">
        <v>325</v>
      </c>
      <c r="H255" s="148" t="s">
        <v>279</v>
      </c>
      <c r="I255" s="316">
        <v>1200</v>
      </c>
      <c r="J255" s="170">
        <f t="shared" si="28"/>
        <v>0</v>
      </c>
      <c r="K255" s="168" t="str">
        <f t="shared" si="29"/>
        <v xml:space="preserve"> </v>
      </c>
      <c r="L255" s="147"/>
      <c r="M255" s="147"/>
      <c r="N255" s="147">
        <f>I255</f>
        <v>1200</v>
      </c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  <c r="AA255" s="147"/>
      <c r="AB255" s="147"/>
      <c r="AC255" s="147"/>
      <c r="AD255" s="132">
        <f t="shared" si="25"/>
        <v>1200</v>
      </c>
      <c r="AE255" s="132">
        <f t="shared" si="30"/>
        <v>1200</v>
      </c>
      <c r="AF255" s="150">
        <f t="shared" si="31"/>
        <v>0</v>
      </c>
    </row>
    <row r="256" spans="1:32" x14ac:dyDescent="0.25">
      <c r="A256" s="315" t="s">
        <v>639</v>
      </c>
      <c r="B256" s="315" t="s">
        <v>727</v>
      </c>
      <c r="C256" s="169" t="str">
        <f t="shared" si="26"/>
        <v>A</v>
      </c>
      <c r="D256" s="146" t="str">
        <f t="shared" si="27"/>
        <v>2</v>
      </c>
      <c r="E256" s="147" t="s">
        <v>440</v>
      </c>
      <c r="F256" s="147" t="s">
        <v>323</v>
      </c>
      <c r="G256" s="147" t="s">
        <v>325</v>
      </c>
      <c r="H256" s="148" t="s">
        <v>279</v>
      </c>
      <c r="I256" s="316">
        <v>400</v>
      </c>
      <c r="J256" s="170">
        <f t="shared" si="28"/>
        <v>0</v>
      </c>
      <c r="K256" s="168" t="str">
        <f t="shared" si="29"/>
        <v xml:space="preserve"> </v>
      </c>
      <c r="L256" s="147"/>
      <c r="M256" s="147"/>
      <c r="N256" s="147"/>
      <c r="O256" s="147">
        <f>I256</f>
        <v>400</v>
      </c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32">
        <f t="shared" si="25"/>
        <v>400</v>
      </c>
      <c r="AE256" s="132">
        <f t="shared" si="30"/>
        <v>400</v>
      </c>
      <c r="AF256" s="150">
        <f t="shared" si="31"/>
        <v>0</v>
      </c>
    </row>
    <row r="257" spans="1:32" x14ac:dyDescent="0.25">
      <c r="A257" s="315" t="s">
        <v>755</v>
      </c>
      <c r="B257" s="315" t="s">
        <v>462</v>
      </c>
      <c r="C257" s="169" t="str">
        <f t="shared" si="26"/>
        <v>A</v>
      </c>
      <c r="D257" s="146" t="str">
        <f t="shared" si="27"/>
        <v>2</v>
      </c>
      <c r="E257" s="147" t="s">
        <v>440</v>
      </c>
      <c r="F257" s="147" t="s">
        <v>323</v>
      </c>
      <c r="G257" s="147" t="s">
        <v>325</v>
      </c>
      <c r="H257" s="148" t="s">
        <v>279</v>
      </c>
      <c r="I257" s="316">
        <v>2800</v>
      </c>
      <c r="J257" s="170">
        <f t="shared" si="28"/>
        <v>0</v>
      </c>
      <c r="K257" s="168" t="str">
        <f t="shared" si="29"/>
        <v xml:space="preserve"> </v>
      </c>
      <c r="L257" s="147">
        <f>$I$257*L7</f>
        <v>913.48167539267013</v>
      </c>
      <c r="M257" s="147">
        <f t="shared" ref="M257:P257" si="33">$I$257*M7</f>
        <v>659.6858638743455</v>
      </c>
      <c r="N257" s="147">
        <f t="shared" si="33"/>
        <v>393.06282722513089</v>
      </c>
      <c r="O257" s="147">
        <f t="shared" si="33"/>
        <v>402.22513089005236</v>
      </c>
      <c r="P257" s="147">
        <f t="shared" si="33"/>
        <v>431.54450261780107</v>
      </c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  <c r="AA257" s="147"/>
      <c r="AB257" s="147"/>
      <c r="AC257" s="147"/>
      <c r="AD257" s="132">
        <f t="shared" si="25"/>
        <v>2800</v>
      </c>
      <c r="AE257" s="132">
        <f t="shared" si="30"/>
        <v>2800</v>
      </c>
      <c r="AF257" s="150">
        <f t="shared" si="31"/>
        <v>0</v>
      </c>
    </row>
    <row r="258" spans="1:32" x14ac:dyDescent="0.25">
      <c r="A258" s="315" t="s">
        <v>1406</v>
      </c>
      <c r="B258" s="315" t="s">
        <v>1431</v>
      </c>
      <c r="C258" s="169" t="str">
        <f t="shared" si="26"/>
        <v>A</v>
      </c>
      <c r="D258" s="146" t="str">
        <f t="shared" si="27"/>
        <v>4</v>
      </c>
      <c r="E258" s="147" t="s">
        <v>440</v>
      </c>
      <c r="F258" s="147" t="s">
        <v>323</v>
      </c>
      <c r="G258" s="147" t="s">
        <v>325</v>
      </c>
      <c r="H258" s="148" t="s">
        <v>279</v>
      </c>
      <c r="I258" s="316">
        <v>20000</v>
      </c>
      <c r="J258" s="170">
        <f t="shared" si="28"/>
        <v>0</v>
      </c>
      <c r="K258" s="168" t="str">
        <f t="shared" si="29"/>
        <v xml:space="preserve"> </v>
      </c>
      <c r="L258" s="147">
        <f>I258</f>
        <v>20000</v>
      </c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  <c r="AA258" s="147"/>
      <c r="AB258" s="147"/>
      <c r="AC258" s="147"/>
      <c r="AD258" s="132">
        <f t="shared" si="25"/>
        <v>20000</v>
      </c>
      <c r="AE258" s="132">
        <f t="shared" si="30"/>
        <v>20000</v>
      </c>
      <c r="AF258" s="150">
        <f t="shared" si="31"/>
        <v>0</v>
      </c>
    </row>
    <row r="259" spans="1:32" x14ac:dyDescent="0.25">
      <c r="A259" s="315" t="s">
        <v>860</v>
      </c>
      <c r="B259" s="315" t="s">
        <v>912</v>
      </c>
      <c r="C259" s="169" t="str">
        <f t="shared" si="26"/>
        <v>A</v>
      </c>
      <c r="D259" s="146" t="str">
        <f t="shared" si="27"/>
        <v>4</v>
      </c>
      <c r="E259" s="147" t="s">
        <v>440</v>
      </c>
      <c r="F259" s="147" t="s">
        <v>323</v>
      </c>
      <c r="G259" s="147" t="s">
        <v>325</v>
      </c>
      <c r="H259" s="148" t="s">
        <v>279</v>
      </c>
      <c r="I259" s="316">
        <v>160</v>
      </c>
      <c r="J259" s="170">
        <f t="shared" si="28"/>
        <v>0</v>
      </c>
      <c r="K259" s="168" t="str">
        <f t="shared" si="29"/>
        <v xml:space="preserve"> </v>
      </c>
      <c r="L259" s="147"/>
      <c r="M259" s="147">
        <f>I259</f>
        <v>160</v>
      </c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  <c r="AD259" s="132">
        <f t="shared" si="25"/>
        <v>160</v>
      </c>
      <c r="AE259" s="132">
        <f t="shared" si="30"/>
        <v>160</v>
      </c>
      <c r="AF259" s="150">
        <f t="shared" si="31"/>
        <v>0</v>
      </c>
    </row>
    <row r="260" spans="1:32" x14ac:dyDescent="0.25">
      <c r="A260" s="315" t="s">
        <v>1125</v>
      </c>
      <c r="B260" s="315" t="s">
        <v>912</v>
      </c>
      <c r="C260" s="169" t="str">
        <f t="shared" si="26"/>
        <v>A</v>
      </c>
      <c r="D260" s="146" t="str">
        <f t="shared" si="27"/>
        <v>4</v>
      </c>
      <c r="E260" s="147" t="s">
        <v>440</v>
      </c>
      <c r="F260" s="147" t="s">
        <v>323</v>
      </c>
      <c r="G260" s="147" t="s">
        <v>325</v>
      </c>
      <c r="H260" s="148" t="s">
        <v>279</v>
      </c>
      <c r="I260" s="316">
        <v>1040</v>
      </c>
      <c r="J260" s="170">
        <f t="shared" si="28"/>
        <v>0</v>
      </c>
      <c r="K260" s="168" t="str">
        <f t="shared" si="29"/>
        <v xml:space="preserve"> </v>
      </c>
      <c r="L260" s="147"/>
      <c r="M260" s="147"/>
      <c r="N260" s="147"/>
      <c r="O260" s="147">
        <f>I260</f>
        <v>1040</v>
      </c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  <c r="AA260" s="147"/>
      <c r="AB260" s="147"/>
      <c r="AC260" s="147"/>
      <c r="AD260" s="132">
        <f t="shared" si="25"/>
        <v>1040</v>
      </c>
      <c r="AE260" s="132">
        <f t="shared" si="30"/>
        <v>1040</v>
      </c>
      <c r="AF260" s="150">
        <f t="shared" si="31"/>
        <v>0</v>
      </c>
    </row>
    <row r="261" spans="1:32" x14ac:dyDescent="0.25">
      <c r="A261" s="315" t="s">
        <v>922</v>
      </c>
      <c r="B261" s="315" t="s">
        <v>1401</v>
      </c>
      <c r="C261" s="169" t="str">
        <f t="shared" si="26"/>
        <v>A</v>
      </c>
      <c r="D261" s="146" t="str">
        <f t="shared" si="27"/>
        <v>4</v>
      </c>
      <c r="E261" s="147" t="s">
        <v>440</v>
      </c>
      <c r="F261" s="147" t="s">
        <v>323</v>
      </c>
      <c r="G261" s="147" t="s">
        <v>325</v>
      </c>
      <c r="H261" s="148" t="s">
        <v>279</v>
      </c>
      <c r="I261" s="316">
        <v>1200</v>
      </c>
      <c r="J261" s="170">
        <f t="shared" si="28"/>
        <v>0</v>
      </c>
      <c r="K261" s="168" t="str">
        <f t="shared" si="29"/>
        <v xml:space="preserve"> </v>
      </c>
      <c r="L261" s="147">
        <f>$I$261*L7</f>
        <v>391.49214659685867</v>
      </c>
      <c r="M261" s="147">
        <f t="shared" ref="M261:P261" si="34">$I$261*M7</f>
        <v>282.72251308900525</v>
      </c>
      <c r="N261" s="147">
        <f t="shared" si="34"/>
        <v>168.45549738219896</v>
      </c>
      <c r="O261" s="147">
        <f t="shared" si="34"/>
        <v>172.38219895287958</v>
      </c>
      <c r="P261" s="147">
        <f t="shared" si="34"/>
        <v>184.9476439790576</v>
      </c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  <c r="AA261" s="147"/>
      <c r="AB261" s="147"/>
      <c r="AC261" s="147"/>
      <c r="AD261" s="132">
        <f t="shared" si="25"/>
        <v>1200</v>
      </c>
      <c r="AE261" s="132">
        <f t="shared" si="30"/>
        <v>1200</v>
      </c>
      <c r="AF261" s="150">
        <f t="shared" si="31"/>
        <v>0</v>
      </c>
    </row>
    <row r="262" spans="1:32" x14ac:dyDescent="0.25">
      <c r="A262" s="315" t="s">
        <v>1007</v>
      </c>
      <c r="B262" s="315" t="s">
        <v>1375</v>
      </c>
      <c r="C262" s="169" t="str">
        <f t="shared" si="26"/>
        <v>A</v>
      </c>
      <c r="D262" s="146" t="str">
        <f t="shared" si="27"/>
        <v>4</v>
      </c>
      <c r="E262" s="147" t="s">
        <v>440</v>
      </c>
      <c r="F262" s="147" t="s">
        <v>323</v>
      </c>
      <c r="G262" s="147" t="s">
        <v>325</v>
      </c>
      <c r="H262" s="148" t="s">
        <v>279</v>
      </c>
      <c r="I262" s="316">
        <v>2000</v>
      </c>
      <c r="J262" s="170">
        <f t="shared" si="28"/>
        <v>0</v>
      </c>
      <c r="K262" s="168" t="str">
        <f t="shared" si="29"/>
        <v xml:space="preserve"> </v>
      </c>
      <c r="L262" s="147">
        <f>$I$262*L7</f>
        <v>652.48691099476446</v>
      </c>
      <c r="M262" s="147">
        <f t="shared" ref="M262:P262" si="35">$I$262*M7</f>
        <v>471.20418848167537</v>
      </c>
      <c r="N262" s="147">
        <f t="shared" si="35"/>
        <v>280.75916230366494</v>
      </c>
      <c r="O262" s="147">
        <f t="shared" si="35"/>
        <v>287.30366492146595</v>
      </c>
      <c r="P262" s="147">
        <f t="shared" si="35"/>
        <v>308.24607329842934</v>
      </c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32">
        <f t="shared" si="25"/>
        <v>2000</v>
      </c>
      <c r="AE262" s="132">
        <f t="shared" si="30"/>
        <v>2000</v>
      </c>
      <c r="AF262" s="150">
        <f t="shared" si="31"/>
        <v>0</v>
      </c>
    </row>
    <row r="263" spans="1:32" x14ac:dyDescent="0.25">
      <c r="A263" s="315" t="s">
        <v>1163</v>
      </c>
      <c r="B263" s="315" t="s">
        <v>622</v>
      </c>
      <c r="C263" s="169" t="str">
        <f t="shared" si="26"/>
        <v>A</v>
      </c>
      <c r="D263" s="146" t="str">
        <f t="shared" si="27"/>
        <v>4</v>
      </c>
      <c r="E263" s="147" t="s">
        <v>440</v>
      </c>
      <c r="F263" s="147" t="s">
        <v>323</v>
      </c>
      <c r="G263" s="147" t="s">
        <v>325</v>
      </c>
      <c r="H263" s="148" t="s">
        <v>279</v>
      </c>
      <c r="I263" s="316">
        <v>960</v>
      </c>
      <c r="J263" s="170">
        <f t="shared" si="28"/>
        <v>0</v>
      </c>
      <c r="K263" s="168" t="str">
        <f t="shared" si="29"/>
        <v xml:space="preserve"> </v>
      </c>
      <c r="L263" s="147"/>
      <c r="M263" s="147"/>
      <c r="N263" s="147"/>
      <c r="O263" s="147"/>
      <c r="P263" s="147">
        <f>I263</f>
        <v>960</v>
      </c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  <c r="AA263" s="147"/>
      <c r="AB263" s="147"/>
      <c r="AC263" s="147"/>
      <c r="AD263" s="132">
        <f t="shared" ref="AD263:AD326" si="36">SUM(L263:AC263)</f>
        <v>960</v>
      </c>
      <c r="AE263" s="132">
        <f t="shared" si="30"/>
        <v>960</v>
      </c>
      <c r="AF263" s="150">
        <f t="shared" si="31"/>
        <v>0</v>
      </c>
    </row>
    <row r="264" spans="1:32" x14ac:dyDescent="0.25">
      <c r="A264" s="315" t="s">
        <v>826</v>
      </c>
      <c r="B264" s="315" t="s">
        <v>511</v>
      </c>
      <c r="C264" s="169" t="str">
        <f t="shared" ref="C264:C327" si="37">CONCATENATE(MID(A264,1,1))</f>
        <v>A</v>
      </c>
      <c r="D264" s="146" t="str">
        <f t="shared" ref="D264:D327" si="38">CONCATENATE(MID(A264,8,1))</f>
        <v>4</v>
      </c>
      <c r="E264" s="147" t="s">
        <v>440</v>
      </c>
      <c r="F264" s="147" t="s">
        <v>323</v>
      </c>
      <c r="G264" s="147" t="s">
        <v>325</v>
      </c>
      <c r="H264" s="148" t="s">
        <v>279</v>
      </c>
      <c r="I264" s="316">
        <v>20000</v>
      </c>
      <c r="J264" s="170">
        <f t="shared" ref="J264:J327" si="39">IF(D264="8",I264,0)</f>
        <v>0</v>
      </c>
      <c r="K264" s="168" t="str">
        <f t="shared" ref="K264:K327" si="40">IF(E264&lt;&gt;"S",IF(D264&lt;&gt;"8",I264,"")," ")</f>
        <v xml:space="preserve"> </v>
      </c>
      <c r="L264" s="147">
        <f>(L4/$Q$4)*$I$264</f>
        <v>6833.2428028245522</v>
      </c>
      <c r="M264" s="147">
        <f t="shared" ref="M264:P264" si="41">(M4/$Q$4)*$I$264</f>
        <v>4910.3747963063552</v>
      </c>
      <c r="N264" s="147">
        <f t="shared" si="41"/>
        <v>2476.9147202607282</v>
      </c>
      <c r="O264" s="147">
        <f t="shared" si="41"/>
        <v>2799.2033315227231</v>
      </c>
      <c r="P264" s="147">
        <f t="shared" si="41"/>
        <v>2980.2643490856417</v>
      </c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  <c r="AC264" s="147"/>
      <c r="AD264" s="132">
        <f t="shared" si="36"/>
        <v>20000</v>
      </c>
      <c r="AE264" s="132">
        <f t="shared" si="30"/>
        <v>20000</v>
      </c>
      <c r="AF264" s="150">
        <f t="shared" si="31"/>
        <v>0</v>
      </c>
    </row>
    <row r="265" spans="1:32" x14ac:dyDescent="0.25">
      <c r="A265" s="315" t="s">
        <v>1505</v>
      </c>
      <c r="B265" s="315" t="s">
        <v>1210</v>
      </c>
      <c r="C265" s="169" t="str">
        <f t="shared" si="37"/>
        <v>A</v>
      </c>
      <c r="D265" s="146" t="str">
        <f t="shared" si="38"/>
        <v>4</v>
      </c>
      <c r="E265" s="147" t="s">
        <v>440</v>
      </c>
      <c r="F265" s="147" t="s">
        <v>323</v>
      </c>
      <c r="G265" s="147" t="s">
        <v>325</v>
      </c>
      <c r="H265" s="148" t="s">
        <v>279</v>
      </c>
      <c r="I265" s="316">
        <v>35000</v>
      </c>
      <c r="J265" s="170">
        <f t="shared" si="39"/>
        <v>0</v>
      </c>
      <c r="K265" s="168" t="str">
        <f t="shared" si="40"/>
        <v xml:space="preserve"> </v>
      </c>
      <c r="L265" s="147">
        <f>(L4/$Q$4)*$I$265</f>
        <v>11958.174904942965</v>
      </c>
      <c r="M265" s="147">
        <f t="shared" ref="M265:P265" si="42">(M4/$Q$4)*$I$265</f>
        <v>8593.1558935361227</v>
      </c>
      <c r="N265" s="147">
        <f t="shared" si="42"/>
        <v>4334.6007604562747</v>
      </c>
      <c r="O265" s="147">
        <f t="shared" si="42"/>
        <v>4898.6058301647654</v>
      </c>
      <c r="P265" s="147">
        <f t="shared" si="42"/>
        <v>5215.4626108998727</v>
      </c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  <c r="AD265" s="132">
        <f t="shared" si="36"/>
        <v>35000</v>
      </c>
      <c r="AE265" s="132">
        <f t="shared" ref="AE265:AE308" si="43">SUM(J265,K265,AD265)</f>
        <v>35000</v>
      </c>
      <c r="AF265" s="150">
        <f t="shared" ref="AF265:AF308" si="44">+I265-AE265</f>
        <v>0</v>
      </c>
    </row>
    <row r="266" spans="1:32" x14ac:dyDescent="0.25">
      <c r="A266" s="315" t="s">
        <v>555</v>
      </c>
      <c r="B266" s="315" t="s">
        <v>1433</v>
      </c>
      <c r="C266" s="169" t="str">
        <f t="shared" si="37"/>
        <v>A</v>
      </c>
      <c r="D266" s="146" t="str">
        <f t="shared" si="38"/>
        <v>4</v>
      </c>
      <c r="E266" s="147" t="s">
        <v>440</v>
      </c>
      <c r="F266" s="147" t="s">
        <v>323</v>
      </c>
      <c r="G266" s="147" t="s">
        <v>325</v>
      </c>
      <c r="H266" s="148" t="s">
        <v>279</v>
      </c>
      <c r="I266" s="316">
        <v>6400</v>
      </c>
      <c r="J266" s="170">
        <f t="shared" si="39"/>
        <v>0</v>
      </c>
      <c r="K266" s="168" t="str">
        <f t="shared" si="40"/>
        <v xml:space="preserve"> </v>
      </c>
      <c r="L266" s="147">
        <f>$I$266*L7</f>
        <v>2087.9581151832463</v>
      </c>
      <c r="M266" s="147">
        <f t="shared" ref="M266:P266" si="45">$I$266*M7</f>
        <v>1507.8534031413612</v>
      </c>
      <c r="N266" s="147">
        <f t="shared" si="45"/>
        <v>898.42931937172784</v>
      </c>
      <c r="O266" s="147">
        <f t="shared" si="45"/>
        <v>919.37172774869111</v>
      </c>
      <c r="P266" s="147">
        <f t="shared" si="45"/>
        <v>986.38743455497388</v>
      </c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  <c r="AD266" s="132">
        <f t="shared" si="36"/>
        <v>6400</v>
      </c>
      <c r="AE266" s="132">
        <f t="shared" si="43"/>
        <v>6400</v>
      </c>
      <c r="AF266" s="150">
        <f t="shared" si="44"/>
        <v>0</v>
      </c>
    </row>
    <row r="267" spans="1:32" x14ac:dyDescent="0.25">
      <c r="A267" s="315" t="s">
        <v>959</v>
      </c>
      <c r="B267" s="315" t="s">
        <v>827</v>
      </c>
      <c r="C267" s="169" t="str">
        <f t="shared" si="37"/>
        <v>A</v>
      </c>
      <c r="D267" s="146" t="str">
        <f t="shared" si="38"/>
        <v>4</v>
      </c>
      <c r="E267" s="147" t="s">
        <v>440</v>
      </c>
      <c r="F267" s="147" t="s">
        <v>323</v>
      </c>
      <c r="G267" s="147" t="s">
        <v>325</v>
      </c>
      <c r="H267" s="148" t="s">
        <v>279</v>
      </c>
      <c r="I267" s="316">
        <v>6000</v>
      </c>
      <c r="J267" s="170">
        <f t="shared" si="39"/>
        <v>0</v>
      </c>
      <c r="K267" s="168" t="str">
        <f t="shared" si="40"/>
        <v xml:space="preserve"> </v>
      </c>
      <c r="L267" s="147">
        <f>$I$267*L7</f>
        <v>1957.4607329842931</v>
      </c>
      <c r="M267" s="147">
        <f t="shared" ref="M267:P267" si="46">$I$267*M7</f>
        <v>1413.6125654450261</v>
      </c>
      <c r="N267" s="147">
        <f t="shared" si="46"/>
        <v>842.27748691099475</v>
      </c>
      <c r="O267" s="147">
        <f t="shared" si="46"/>
        <v>861.91099476439797</v>
      </c>
      <c r="P267" s="147">
        <f t="shared" si="46"/>
        <v>924.73821989528801</v>
      </c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  <c r="AD267" s="132">
        <f t="shared" si="36"/>
        <v>6000</v>
      </c>
      <c r="AE267" s="132">
        <f t="shared" si="43"/>
        <v>6000</v>
      </c>
      <c r="AF267" s="150">
        <f t="shared" si="44"/>
        <v>0</v>
      </c>
    </row>
    <row r="268" spans="1:32" x14ac:dyDescent="0.25">
      <c r="A268" s="315" t="s">
        <v>749</v>
      </c>
      <c r="B268" s="315" t="s">
        <v>984</v>
      </c>
      <c r="C268" s="169" t="str">
        <f t="shared" si="37"/>
        <v>A</v>
      </c>
      <c r="D268" s="146" t="str">
        <f t="shared" si="38"/>
        <v>4</v>
      </c>
      <c r="E268" s="147" t="s">
        <v>440</v>
      </c>
      <c r="F268" s="147" t="s">
        <v>323</v>
      </c>
      <c r="G268" s="147" t="s">
        <v>325</v>
      </c>
      <c r="H268" s="148" t="s">
        <v>279</v>
      </c>
      <c r="I268" s="316">
        <v>8000</v>
      </c>
      <c r="J268" s="170">
        <f t="shared" si="39"/>
        <v>0</v>
      </c>
      <c r="K268" s="168" t="str">
        <f t="shared" si="40"/>
        <v xml:space="preserve"> </v>
      </c>
      <c r="L268" s="147">
        <f>(L4/$Q$4)*$I$268</f>
        <v>2733.2971211298209</v>
      </c>
      <c r="M268" s="147">
        <f t="shared" ref="M268:P268" si="47">(M4/$Q$4)*$I$268</f>
        <v>1964.1499185225421</v>
      </c>
      <c r="N268" s="147">
        <f t="shared" si="47"/>
        <v>990.76588810429132</v>
      </c>
      <c r="O268" s="147">
        <f t="shared" si="47"/>
        <v>1119.6813326090894</v>
      </c>
      <c r="P268" s="147">
        <f t="shared" si="47"/>
        <v>1192.1057396342567</v>
      </c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32">
        <f t="shared" si="36"/>
        <v>8000.0000000000009</v>
      </c>
      <c r="AE268" s="132">
        <f t="shared" si="43"/>
        <v>8000.0000000000009</v>
      </c>
      <c r="AF268" s="150">
        <f t="shared" si="44"/>
        <v>0</v>
      </c>
    </row>
    <row r="269" spans="1:32" x14ac:dyDescent="0.25">
      <c r="A269" s="315" t="s">
        <v>1187</v>
      </c>
      <c r="B269" s="315" t="s">
        <v>503</v>
      </c>
      <c r="C269" s="169" t="str">
        <f t="shared" si="37"/>
        <v>A</v>
      </c>
      <c r="D269" s="146" t="str">
        <f t="shared" si="38"/>
        <v>4</v>
      </c>
      <c r="E269" s="147" t="s">
        <v>440</v>
      </c>
      <c r="F269" s="147" t="s">
        <v>323</v>
      </c>
      <c r="G269" s="147" t="s">
        <v>325</v>
      </c>
      <c r="H269" s="148" t="s">
        <v>279</v>
      </c>
      <c r="I269" s="316">
        <v>2400</v>
      </c>
      <c r="J269" s="170">
        <f t="shared" si="39"/>
        <v>0</v>
      </c>
      <c r="K269" s="168" t="str">
        <f t="shared" si="40"/>
        <v xml:space="preserve"> </v>
      </c>
      <c r="L269" s="147">
        <f>(L4/$Q$4)*$I$269</f>
        <v>819.9891363389462</v>
      </c>
      <c r="M269" s="147">
        <f t="shared" ref="M269:P269" si="48">(M4/$Q$4)*$I$269</f>
        <v>589.2449755567626</v>
      </c>
      <c r="N269" s="147">
        <f t="shared" si="48"/>
        <v>297.22976643128737</v>
      </c>
      <c r="O269" s="147">
        <f t="shared" si="48"/>
        <v>335.90439978272678</v>
      </c>
      <c r="P269" s="147">
        <f t="shared" si="48"/>
        <v>357.63172189027699</v>
      </c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  <c r="AD269" s="132">
        <f t="shared" si="36"/>
        <v>2400</v>
      </c>
      <c r="AE269" s="132">
        <f t="shared" si="43"/>
        <v>2400</v>
      </c>
      <c r="AF269" s="150">
        <f t="shared" si="44"/>
        <v>0</v>
      </c>
    </row>
    <row r="270" spans="1:32" x14ac:dyDescent="0.25">
      <c r="A270" s="315" t="s">
        <v>1600</v>
      </c>
      <c r="B270" s="315" t="s">
        <v>1072</v>
      </c>
      <c r="C270" s="169" t="str">
        <f t="shared" si="37"/>
        <v>A</v>
      </c>
      <c r="D270" s="146" t="str">
        <f t="shared" si="38"/>
        <v>4</v>
      </c>
      <c r="E270" s="147" t="s">
        <v>440</v>
      </c>
      <c r="F270" s="147" t="s">
        <v>323</v>
      </c>
      <c r="G270" s="147" t="s">
        <v>325</v>
      </c>
      <c r="H270" s="148" t="s">
        <v>279</v>
      </c>
      <c r="I270" s="316">
        <v>4400</v>
      </c>
      <c r="J270" s="170">
        <f t="shared" si="39"/>
        <v>0</v>
      </c>
      <c r="K270" s="168" t="str">
        <f t="shared" si="40"/>
        <v xml:space="preserve"> </v>
      </c>
      <c r="L270" s="147">
        <f>I270</f>
        <v>4400</v>
      </c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32">
        <f t="shared" si="36"/>
        <v>4400</v>
      </c>
      <c r="AE270" s="132">
        <f t="shared" si="43"/>
        <v>4400</v>
      </c>
      <c r="AF270" s="150">
        <f t="shared" si="44"/>
        <v>0</v>
      </c>
    </row>
    <row r="271" spans="1:32" x14ac:dyDescent="0.25">
      <c r="A271" s="315" t="s">
        <v>508</v>
      </c>
      <c r="B271" s="315" t="s">
        <v>808</v>
      </c>
      <c r="C271" s="169" t="str">
        <f t="shared" si="37"/>
        <v>A</v>
      </c>
      <c r="D271" s="146" t="str">
        <f t="shared" si="38"/>
        <v>4</v>
      </c>
      <c r="E271" s="147" t="s">
        <v>440</v>
      </c>
      <c r="F271" s="147" t="s">
        <v>323</v>
      </c>
      <c r="G271" s="147" t="s">
        <v>325</v>
      </c>
      <c r="H271" s="148" t="s">
        <v>279</v>
      </c>
      <c r="I271" s="316">
        <v>1600</v>
      </c>
      <c r="J271" s="170">
        <f t="shared" si="39"/>
        <v>0</v>
      </c>
      <c r="K271" s="168" t="str">
        <f t="shared" si="40"/>
        <v xml:space="preserve"> </v>
      </c>
      <c r="L271" s="147"/>
      <c r="M271" s="147">
        <f>I271</f>
        <v>1600</v>
      </c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  <c r="AD271" s="132">
        <f t="shared" si="36"/>
        <v>1600</v>
      </c>
      <c r="AE271" s="132">
        <f t="shared" si="43"/>
        <v>1600</v>
      </c>
      <c r="AF271" s="150">
        <f t="shared" si="44"/>
        <v>0</v>
      </c>
    </row>
    <row r="272" spans="1:32" x14ac:dyDescent="0.25">
      <c r="A272" s="315" t="s">
        <v>630</v>
      </c>
      <c r="B272" s="315" t="s">
        <v>698</v>
      </c>
      <c r="C272" s="169" t="str">
        <f t="shared" si="37"/>
        <v>A</v>
      </c>
      <c r="D272" s="146" t="str">
        <f t="shared" si="38"/>
        <v>4</v>
      </c>
      <c r="E272" s="147" t="s">
        <v>440</v>
      </c>
      <c r="F272" s="147" t="s">
        <v>323</v>
      </c>
      <c r="G272" s="147" t="s">
        <v>325</v>
      </c>
      <c r="H272" s="148" t="s">
        <v>279</v>
      </c>
      <c r="I272" s="316">
        <v>800</v>
      </c>
      <c r="J272" s="170">
        <f t="shared" si="39"/>
        <v>0</v>
      </c>
      <c r="K272" s="168" t="str">
        <f t="shared" si="40"/>
        <v xml:space="preserve"> </v>
      </c>
      <c r="L272" s="147"/>
      <c r="M272" s="147"/>
      <c r="N272" s="147">
        <f>I272</f>
        <v>800</v>
      </c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32">
        <f t="shared" si="36"/>
        <v>800</v>
      </c>
      <c r="AE272" s="132">
        <f t="shared" si="43"/>
        <v>800</v>
      </c>
      <c r="AF272" s="150">
        <f t="shared" si="44"/>
        <v>0</v>
      </c>
    </row>
    <row r="273" spans="1:32" x14ac:dyDescent="0.25">
      <c r="A273" s="315" t="s">
        <v>600</v>
      </c>
      <c r="B273" s="315" t="s">
        <v>789</v>
      </c>
      <c r="C273" s="169" t="str">
        <f t="shared" si="37"/>
        <v>A</v>
      </c>
      <c r="D273" s="146" t="str">
        <f t="shared" si="38"/>
        <v>4</v>
      </c>
      <c r="E273" s="147" t="s">
        <v>440</v>
      </c>
      <c r="F273" s="147" t="s">
        <v>323</v>
      </c>
      <c r="G273" s="147" t="s">
        <v>325</v>
      </c>
      <c r="H273" s="148" t="s">
        <v>279</v>
      </c>
      <c r="I273" s="316">
        <v>1120</v>
      </c>
      <c r="J273" s="170">
        <f t="shared" si="39"/>
        <v>0</v>
      </c>
      <c r="K273" s="168" t="str">
        <f t="shared" si="40"/>
        <v xml:space="preserve"> </v>
      </c>
      <c r="L273" s="147"/>
      <c r="M273" s="147"/>
      <c r="N273" s="147"/>
      <c r="O273" s="147">
        <f>I273</f>
        <v>1120</v>
      </c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32">
        <f t="shared" si="36"/>
        <v>1120</v>
      </c>
      <c r="AE273" s="132">
        <f t="shared" si="43"/>
        <v>1120</v>
      </c>
      <c r="AF273" s="150">
        <f t="shared" si="44"/>
        <v>0</v>
      </c>
    </row>
    <row r="274" spans="1:32" x14ac:dyDescent="0.25">
      <c r="A274" s="315" t="s">
        <v>1067</v>
      </c>
      <c r="B274" s="315" t="s">
        <v>1156</v>
      </c>
      <c r="C274" s="169" t="str">
        <f t="shared" si="37"/>
        <v>A</v>
      </c>
      <c r="D274" s="146" t="str">
        <f t="shared" si="38"/>
        <v>4</v>
      </c>
      <c r="E274" s="147" t="s">
        <v>440</v>
      </c>
      <c r="F274" s="147" t="s">
        <v>323</v>
      </c>
      <c r="G274" s="147" t="s">
        <v>325</v>
      </c>
      <c r="H274" s="148" t="s">
        <v>279</v>
      </c>
      <c r="I274" s="316">
        <v>800</v>
      </c>
      <c r="J274" s="170">
        <f t="shared" si="39"/>
        <v>0</v>
      </c>
      <c r="K274" s="168" t="str">
        <f t="shared" si="40"/>
        <v xml:space="preserve"> </v>
      </c>
      <c r="L274" s="147"/>
      <c r="M274" s="147"/>
      <c r="N274" s="147"/>
      <c r="O274" s="147"/>
      <c r="P274" s="147">
        <f>I274</f>
        <v>800</v>
      </c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32">
        <f t="shared" si="36"/>
        <v>800</v>
      </c>
      <c r="AE274" s="132">
        <f t="shared" si="43"/>
        <v>800</v>
      </c>
      <c r="AF274" s="150">
        <f t="shared" si="44"/>
        <v>0</v>
      </c>
    </row>
    <row r="275" spans="1:32" x14ac:dyDescent="0.25">
      <c r="A275" s="315" t="s">
        <v>812</v>
      </c>
      <c r="B275" s="315" t="s">
        <v>712</v>
      </c>
      <c r="C275" s="169" t="str">
        <f t="shared" si="37"/>
        <v>A</v>
      </c>
      <c r="D275" s="146" t="str">
        <f t="shared" si="38"/>
        <v>4</v>
      </c>
      <c r="E275" s="147" t="s">
        <v>440</v>
      </c>
      <c r="F275" s="147" t="s">
        <v>323</v>
      </c>
      <c r="G275" s="147" t="s">
        <v>325</v>
      </c>
      <c r="H275" s="148" t="s">
        <v>279</v>
      </c>
      <c r="I275" s="316">
        <v>2000</v>
      </c>
      <c r="J275" s="170">
        <f t="shared" si="39"/>
        <v>0</v>
      </c>
      <c r="K275" s="168" t="str">
        <f t="shared" si="40"/>
        <v xml:space="preserve"> </v>
      </c>
      <c r="L275" s="147">
        <f>I275</f>
        <v>2000</v>
      </c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32">
        <f t="shared" si="36"/>
        <v>2000</v>
      </c>
      <c r="AE275" s="132">
        <f t="shared" si="43"/>
        <v>2000</v>
      </c>
      <c r="AF275" s="150">
        <f t="shared" si="44"/>
        <v>0</v>
      </c>
    </row>
    <row r="276" spans="1:32" x14ac:dyDescent="0.25">
      <c r="A276" s="315" t="s">
        <v>1268</v>
      </c>
      <c r="B276" s="315" t="s">
        <v>1213</v>
      </c>
      <c r="C276" s="169" t="str">
        <f t="shared" si="37"/>
        <v>A</v>
      </c>
      <c r="D276" s="146" t="str">
        <f t="shared" si="38"/>
        <v>4</v>
      </c>
      <c r="E276" s="147" t="s">
        <v>440</v>
      </c>
      <c r="F276" s="147" t="s">
        <v>323</v>
      </c>
      <c r="G276" s="147" t="s">
        <v>325</v>
      </c>
      <c r="H276" s="148" t="s">
        <v>279</v>
      </c>
      <c r="I276" s="316">
        <v>1160</v>
      </c>
      <c r="J276" s="170">
        <f t="shared" si="39"/>
        <v>0</v>
      </c>
      <c r="K276" s="168" t="str">
        <f t="shared" si="40"/>
        <v xml:space="preserve"> </v>
      </c>
      <c r="L276" s="147">
        <f>I276</f>
        <v>1160</v>
      </c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32">
        <f t="shared" si="36"/>
        <v>1160</v>
      </c>
      <c r="AE276" s="132">
        <f t="shared" si="43"/>
        <v>1160</v>
      </c>
      <c r="AF276" s="150">
        <f t="shared" si="44"/>
        <v>0</v>
      </c>
    </row>
    <row r="277" spans="1:32" x14ac:dyDescent="0.25">
      <c r="A277" s="315" t="s">
        <v>711</v>
      </c>
      <c r="B277" s="315" t="s">
        <v>611</v>
      </c>
      <c r="C277" s="169" t="str">
        <f t="shared" si="37"/>
        <v>A</v>
      </c>
      <c r="D277" s="146" t="str">
        <f t="shared" si="38"/>
        <v>4</v>
      </c>
      <c r="E277" s="147" t="s">
        <v>440</v>
      </c>
      <c r="F277" s="147" t="s">
        <v>323</v>
      </c>
      <c r="G277" s="147" t="s">
        <v>325</v>
      </c>
      <c r="H277" s="148" t="s">
        <v>279</v>
      </c>
      <c r="I277" s="316">
        <v>800</v>
      </c>
      <c r="J277" s="170">
        <f t="shared" si="39"/>
        <v>0</v>
      </c>
      <c r="K277" s="168" t="str">
        <f t="shared" si="40"/>
        <v xml:space="preserve"> </v>
      </c>
      <c r="L277" s="147">
        <f>I277</f>
        <v>800</v>
      </c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32">
        <f t="shared" si="36"/>
        <v>800</v>
      </c>
      <c r="AE277" s="132">
        <f t="shared" si="43"/>
        <v>800</v>
      </c>
      <c r="AF277" s="150">
        <f t="shared" si="44"/>
        <v>0</v>
      </c>
    </row>
    <row r="278" spans="1:32" x14ac:dyDescent="0.25">
      <c r="A278" s="315" t="s">
        <v>731</v>
      </c>
      <c r="B278" s="315" t="s">
        <v>1575</v>
      </c>
      <c r="C278" s="169" t="str">
        <f t="shared" si="37"/>
        <v>A</v>
      </c>
      <c r="D278" s="146" t="str">
        <f t="shared" si="38"/>
        <v>4</v>
      </c>
      <c r="E278" s="147" t="s">
        <v>440</v>
      </c>
      <c r="F278" s="147" t="s">
        <v>323</v>
      </c>
      <c r="G278" s="147" t="s">
        <v>325</v>
      </c>
      <c r="H278" s="148" t="s">
        <v>279</v>
      </c>
      <c r="I278" s="316">
        <v>1040</v>
      </c>
      <c r="J278" s="170">
        <f t="shared" si="39"/>
        <v>0</v>
      </c>
      <c r="K278" s="168" t="str">
        <f t="shared" si="40"/>
        <v xml:space="preserve"> </v>
      </c>
      <c r="L278" s="147">
        <f>I278</f>
        <v>1040</v>
      </c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  <c r="AD278" s="132">
        <f t="shared" si="36"/>
        <v>1040</v>
      </c>
      <c r="AE278" s="132">
        <f t="shared" si="43"/>
        <v>1040</v>
      </c>
      <c r="AF278" s="150">
        <f t="shared" si="44"/>
        <v>0</v>
      </c>
    </row>
    <row r="279" spans="1:32" x14ac:dyDescent="0.25">
      <c r="A279" s="315" t="s">
        <v>1104</v>
      </c>
      <c r="B279" s="315" t="s">
        <v>1551</v>
      </c>
      <c r="C279" s="169" t="str">
        <f t="shared" si="37"/>
        <v>A</v>
      </c>
      <c r="D279" s="146" t="str">
        <f t="shared" si="38"/>
        <v>4</v>
      </c>
      <c r="E279" s="147" t="s">
        <v>440</v>
      </c>
      <c r="F279" s="147" t="s">
        <v>323</v>
      </c>
      <c r="G279" s="147" t="s">
        <v>325</v>
      </c>
      <c r="H279" s="148" t="s">
        <v>279</v>
      </c>
      <c r="I279" s="316">
        <v>8544</v>
      </c>
      <c r="J279" s="170">
        <f t="shared" si="39"/>
        <v>0</v>
      </c>
      <c r="K279" s="168" t="str">
        <f t="shared" si="40"/>
        <v xml:space="preserve"> </v>
      </c>
      <c r="L279" s="147">
        <f>I279</f>
        <v>8544</v>
      </c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  <c r="AA279" s="147"/>
      <c r="AB279" s="147"/>
      <c r="AC279" s="147"/>
      <c r="AD279" s="132">
        <f t="shared" si="36"/>
        <v>8544</v>
      </c>
      <c r="AE279" s="132">
        <f t="shared" si="43"/>
        <v>8544</v>
      </c>
      <c r="AF279" s="150">
        <f t="shared" si="44"/>
        <v>0</v>
      </c>
    </row>
    <row r="280" spans="1:32" x14ac:dyDescent="0.25">
      <c r="A280" s="315" t="s">
        <v>1483</v>
      </c>
      <c r="B280" s="315" t="s">
        <v>1434</v>
      </c>
      <c r="C280" s="169" t="str">
        <f t="shared" si="37"/>
        <v>A</v>
      </c>
      <c r="D280" s="146" t="str">
        <f t="shared" si="38"/>
        <v>4</v>
      </c>
      <c r="E280" s="147" t="s">
        <v>440</v>
      </c>
      <c r="F280" s="147" t="s">
        <v>323</v>
      </c>
      <c r="G280" s="147" t="s">
        <v>325</v>
      </c>
      <c r="H280" s="148" t="s">
        <v>279</v>
      </c>
      <c r="I280" s="316">
        <v>600</v>
      </c>
      <c r="J280" s="170">
        <f t="shared" si="39"/>
        <v>0</v>
      </c>
      <c r="K280" s="168" t="str">
        <f t="shared" si="40"/>
        <v xml:space="preserve"> </v>
      </c>
      <c r="L280" s="147"/>
      <c r="M280" s="147">
        <f>I280</f>
        <v>600</v>
      </c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32">
        <f t="shared" si="36"/>
        <v>600</v>
      </c>
      <c r="AE280" s="132">
        <f t="shared" si="43"/>
        <v>600</v>
      </c>
      <c r="AF280" s="150">
        <f t="shared" si="44"/>
        <v>0</v>
      </c>
    </row>
    <row r="281" spans="1:32" x14ac:dyDescent="0.25">
      <c r="A281" s="315" t="s">
        <v>1079</v>
      </c>
      <c r="B281" s="315" t="s">
        <v>1231</v>
      </c>
      <c r="C281" s="169" t="str">
        <f t="shared" si="37"/>
        <v>A</v>
      </c>
      <c r="D281" s="146" t="str">
        <f t="shared" si="38"/>
        <v>4</v>
      </c>
      <c r="E281" s="147" t="s">
        <v>440</v>
      </c>
      <c r="F281" s="147" t="s">
        <v>323</v>
      </c>
      <c r="G281" s="147" t="s">
        <v>325</v>
      </c>
      <c r="H281" s="148" t="s">
        <v>279</v>
      </c>
      <c r="I281" s="316">
        <v>7327</v>
      </c>
      <c r="J281" s="170">
        <f t="shared" si="39"/>
        <v>0</v>
      </c>
      <c r="K281" s="168" t="str">
        <f t="shared" si="40"/>
        <v xml:space="preserve"> </v>
      </c>
      <c r="L281" s="147"/>
      <c r="M281" s="147">
        <f>I281</f>
        <v>7327</v>
      </c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  <c r="AD281" s="132">
        <f t="shared" si="36"/>
        <v>7327</v>
      </c>
      <c r="AE281" s="132">
        <f t="shared" si="43"/>
        <v>7327</v>
      </c>
      <c r="AF281" s="150">
        <f t="shared" si="44"/>
        <v>0</v>
      </c>
    </row>
    <row r="282" spans="1:32" x14ac:dyDescent="0.25">
      <c r="A282" s="315" t="s">
        <v>1601</v>
      </c>
      <c r="B282" s="315" t="s">
        <v>882</v>
      </c>
      <c r="C282" s="169" t="str">
        <f t="shared" si="37"/>
        <v>A</v>
      </c>
      <c r="D282" s="146" t="str">
        <f t="shared" si="38"/>
        <v>4</v>
      </c>
      <c r="E282" s="147" t="s">
        <v>440</v>
      </c>
      <c r="F282" s="147" t="s">
        <v>323</v>
      </c>
      <c r="G282" s="147" t="s">
        <v>325</v>
      </c>
      <c r="H282" s="148" t="s">
        <v>279</v>
      </c>
      <c r="I282" s="316">
        <v>200</v>
      </c>
      <c r="J282" s="170">
        <f t="shared" si="39"/>
        <v>0</v>
      </c>
      <c r="K282" s="168" t="str">
        <f t="shared" si="40"/>
        <v xml:space="preserve"> </v>
      </c>
      <c r="L282" s="147"/>
      <c r="M282" s="147"/>
      <c r="N282" s="147">
        <f>I282</f>
        <v>200</v>
      </c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  <c r="AD282" s="132">
        <f t="shared" si="36"/>
        <v>200</v>
      </c>
      <c r="AE282" s="132">
        <f t="shared" si="43"/>
        <v>200</v>
      </c>
      <c r="AF282" s="150">
        <f t="shared" si="44"/>
        <v>0</v>
      </c>
    </row>
    <row r="283" spans="1:32" x14ac:dyDescent="0.25">
      <c r="A283" s="315" t="s">
        <v>961</v>
      </c>
      <c r="B283" s="315" t="s">
        <v>536</v>
      </c>
      <c r="C283" s="169" t="str">
        <f t="shared" si="37"/>
        <v>A</v>
      </c>
      <c r="D283" s="146" t="str">
        <f t="shared" si="38"/>
        <v>4</v>
      </c>
      <c r="E283" s="147" t="s">
        <v>440</v>
      </c>
      <c r="F283" s="147" t="s">
        <v>323</v>
      </c>
      <c r="G283" s="147" t="s">
        <v>325</v>
      </c>
      <c r="H283" s="148" t="s">
        <v>279</v>
      </c>
      <c r="I283" s="316">
        <v>4800</v>
      </c>
      <c r="J283" s="170">
        <f t="shared" si="39"/>
        <v>0</v>
      </c>
      <c r="K283" s="168" t="str">
        <f t="shared" si="40"/>
        <v xml:space="preserve"> </v>
      </c>
      <c r="L283" s="147"/>
      <c r="M283" s="147"/>
      <c r="N283" s="147">
        <f>I283</f>
        <v>4800</v>
      </c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32">
        <f t="shared" si="36"/>
        <v>4800</v>
      </c>
      <c r="AE283" s="132">
        <f t="shared" si="43"/>
        <v>4800</v>
      </c>
      <c r="AF283" s="150">
        <f t="shared" si="44"/>
        <v>0</v>
      </c>
    </row>
    <row r="284" spans="1:32" x14ac:dyDescent="0.25">
      <c r="A284" s="315" t="s">
        <v>1040</v>
      </c>
      <c r="B284" s="315" t="s">
        <v>1113</v>
      </c>
      <c r="C284" s="169" t="str">
        <f t="shared" si="37"/>
        <v>A</v>
      </c>
      <c r="D284" s="146" t="str">
        <f t="shared" si="38"/>
        <v>4</v>
      </c>
      <c r="E284" s="147" t="s">
        <v>440</v>
      </c>
      <c r="F284" s="147" t="s">
        <v>323</v>
      </c>
      <c r="G284" s="147" t="s">
        <v>325</v>
      </c>
      <c r="H284" s="148" t="s">
        <v>279</v>
      </c>
      <c r="I284" s="316">
        <v>200</v>
      </c>
      <c r="J284" s="170">
        <f t="shared" si="39"/>
        <v>0</v>
      </c>
      <c r="K284" s="168" t="str">
        <f t="shared" si="40"/>
        <v xml:space="preserve"> </v>
      </c>
      <c r="L284" s="147"/>
      <c r="M284" s="147"/>
      <c r="N284" s="147"/>
      <c r="O284" s="147">
        <f>I284</f>
        <v>200</v>
      </c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  <c r="AD284" s="132">
        <f t="shared" si="36"/>
        <v>200</v>
      </c>
      <c r="AE284" s="132">
        <f t="shared" si="43"/>
        <v>200</v>
      </c>
      <c r="AF284" s="150">
        <f t="shared" si="44"/>
        <v>0</v>
      </c>
    </row>
    <row r="285" spans="1:32" x14ac:dyDescent="0.25">
      <c r="A285" s="315" t="s">
        <v>1349</v>
      </c>
      <c r="B285" s="315" t="s">
        <v>802</v>
      </c>
      <c r="C285" s="169" t="str">
        <f t="shared" si="37"/>
        <v>A</v>
      </c>
      <c r="D285" s="146" t="str">
        <f t="shared" si="38"/>
        <v>4</v>
      </c>
      <c r="E285" s="147" t="s">
        <v>440</v>
      </c>
      <c r="F285" s="147" t="s">
        <v>323</v>
      </c>
      <c r="G285" s="147" t="s">
        <v>325</v>
      </c>
      <c r="H285" s="148" t="s">
        <v>279</v>
      </c>
      <c r="I285" s="316">
        <v>4000</v>
      </c>
      <c r="J285" s="170">
        <f t="shared" si="39"/>
        <v>0</v>
      </c>
      <c r="K285" s="168" t="str">
        <f t="shared" si="40"/>
        <v xml:space="preserve"> </v>
      </c>
      <c r="L285" s="147"/>
      <c r="M285" s="147"/>
      <c r="N285" s="147"/>
      <c r="O285" s="147">
        <f>I285</f>
        <v>4000</v>
      </c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  <c r="AD285" s="132">
        <f t="shared" si="36"/>
        <v>4000</v>
      </c>
      <c r="AE285" s="132">
        <f t="shared" si="43"/>
        <v>4000</v>
      </c>
      <c r="AF285" s="150">
        <f t="shared" si="44"/>
        <v>0</v>
      </c>
    </row>
    <row r="286" spans="1:32" x14ac:dyDescent="0.25">
      <c r="A286" s="315" t="s">
        <v>1662</v>
      </c>
      <c r="B286" s="315" t="s">
        <v>1731</v>
      </c>
      <c r="C286" s="169" t="str">
        <f t="shared" si="37"/>
        <v>A</v>
      </c>
      <c r="D286" s="146" t="str">
        <f t="shared" si="38"/>
        <v>4</v>
      </c>
      <c r="E286" s="147" t="s">
        <v>440</v>
      </c>
      <c r="F286" s="147" t="s">
        <v>323</v>
      </c>
      <c r="G286" s="147" t="s">
        <v>325</v>
      </c>
      <c r="H286" s="148" t="s">
        <v>279</v>
      </c>
      <c r="I286" s="316">
        <v>200</v>
      </c>
      <c r="J286" s="170">
        <f t="shared" si="39"/>
        <v>0</v>
      </c>
      <c r="K286" s="168" t="str">
        <f t="shared" si="40"/>
        <v xml:space="preserve"> </v>
      </c>
      <c r="L286" s="147"/>
      <c r="M286" s="147"/>
      <c r="N286" s="147"/>
      <c r="O286" s="147"/>
      <c r="P286" s="147">
        <f>I286</f>
        <v>200</v>
      </c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32">
        <f t="shared" si="36"/>
        <v>200</v>
      </c>
      <c r="AE286" s="132">
        <f t="shared" si="43"/>
        <v>200</v>
      </c>
      <c r="AF286" s="150">
        <f t="shared" si="44"/>
        <v>0</v>
      </c>
    </row>
    <row r="287" spans="1:32" x14ac:dyDescent="0.25">
      <c r="A287" s="315" t="s">
        <v>1486</v>
      </c>
      <c r="B287" s="315" t="s">
        <v>1220</v>
      </c>
      <c r="C287" s="169" t="str">
        <f t="shared" si="37"/>
        <v>A</v>
      </c>
      <c r="D287" s="146" t="str">
        <f t="shared" si="38"/>
        <v>4</v>
      </c>
      <c r="E287" s="147" t="s">
        <v>440</v>
      </c>
      <c r="F287" s="147" t="s">
        <v>323</v>
      </c>
      <c r="G287" s="147" t="s">
        <v>325</v>
      </c>
      <c r="H287" s="148" t="s">
        <v>279</v>
      </c>
      <c r="I287" s="316">
        <v>8000</v>
      </c>
      <c r="J287" s="170">
        <f t="shared" si="39"/>
        <v>0</v>
      </c>
      <c r="K287" s="168" t="str">
        <f t="shared" si="40"/>
        <v xml:space="preserve"> </v>
      </c>
      <c r="L287" s="147"/>
      <c r="M287" s="147"/>
      <c r="N287" s="147"/>
      <c r="O287" s="147"/>
      <c r="P287" s="147">
        <f>I287</f>
        <v>8000</v>
      </c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32">
        <f t="shared" si="36"/>
        <v>8000</v>
      </c>
      <c r="AE287" s="132">
        <f t="shared" si="43"/>
        <v>8000</v>
      </c>
      <c r="AF287" s="150">
        <f t="shared" si="44"/>
        <v>0</v>
      </c>
    </row>
    <row r="288" spans="1:32" x14ac:dyDescent="0.25">
      <c r="A288" s="315" t="s">
        <v>677</v>
      </c>
      <c r="B288" s="315" t="s">
        <v>1353</v>
      </c>
      <c r="C288" s="169" t="str">
        <f t="shared" si="37"/>
        <v>A</v>
      </c>
      <c r="D288" s="146" t="str">
        <f t="shared" si="38"/>
        <v>4</v>
      </c>
      <c r="E288" s="147" t="s">
        <v>440</v>
      </c>
      <c r="F288" s="147" t="s">
        <v>323</v>
      </c>
      <c r="G288" s="147" t="s">
        <v>325</v>
      </c>
      <c r="H288" s="148" t="s">
        <v>279</v>
      </c>
      <c r="I288" s="316">
        <v>4000</v>
      </c>
      <c r="J288" s="170">
        <f t="shared" si="39"/>
        <v>0</v>
      </c>
      <c r="K288" s="168" t="str">
        <f t="shared" si="40"/>
        <v xml:space="preserve"> </v>
      </c>
      <c r="L288" s="147">
        <f>$I$288*L7</f>
        <v>1304.9738219895289</v>
      </c>
      <c r="M288" s="147">
        <f t="shared" ref="M288:P288" si="49">$I$288*M7</f>
        <v>942.40837696335075</v>
      </c>
      <c r="N288" s="147">
        <f t="shared" si="49"/>
        <v>561.51832460732987</v>
      </c>
      <c r="O288" s="147">
        <f t="shared" si="49"/>
        <v>574.6073298429319</v>
      </c>
      <c r="P288" s="147">
        <f t="shared" si="49"/>
        <v>616.49214659685867</v>
      </c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32">
        <f t="shared" si="36"/>
        <v>4000</v>
      </c>
      <c r="AE288" s="132">
        <f t="shared" si="43"/>
        <v>4000</v>
      </c>
      <c r="AF288" s="150">
        <f t="shared" si="44"/>
        <v>0</v>
      </c>
    </row>
    <row r="289" spans="1:32" x14ac:dyDescent="0.25">
      <c r="A289" s="315" t="s">
        <v>467</v>
      </c>
      <c r="B289" s="315" t="s">
        <v>1254</v>
      </c>
      <c r="C289" s="169" t="str">
        <f t="shared" si="37"/>
        <v>A</v>
      </c>
      <c r="D289" s="146" t="str">
        <f t="shared" si="38"/>
        <v>4</v>
      </c>
      <c r="E289" s="147" t="s">
        <v>440</v>
      </c>
      <c r="F289" s="147" t="s">
        <v>323</v>
      </c>
      <c r="G289" s="147" t="s">
        <v>325</v>
      </c>
      <c r="H289" s="148" t="s">
        <v>279</v>
      </c>
      <c r="I289" s="316">
        <v>500</v>
      </c>
      <c r="J289" s="170">
        <f t="shared" si="39"/>
        <v>0</v>
      </c>
      <c r="K289" s="168" t="str">
        <f t="shared" si="40"/>
        <v xml:space="preserve"> </v>
      </c>
      <c r="L289" s="147">
        <f>I289</f>
        <v>500</v>
      </c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32">
        <f t="shared" si="36"/>
        <v>500</v>
      </c>
      <c r="AE289" s="132">
        <f t="shared" si="43"/>
        <v>500</v>
      </c>
      <c r="AF289" s="150">
        <f t="shared" si="44"/>
        <v>0</v>
      </c>
    </row>
    <row r="290" spans="1:32" x14ac:dyDescent="0.25">
      <c r="A290" s="315" t="s">
        <v>1080</v>
      </c>
      <c r="B290" s="315" t="s">
        <v>1416</v>
      </c>
      <c r="C290" s="169" t="str">
        <f t="shared" si="37"/>
        <v>A</v>
      </c>
      <c r="D290" s="146" t="str">
        <f t="shared" si="38"/>
        <v>4</v>
      </c>
      <c r="E290" s="147" t="s">
        <v>440</v>
      </c>
      <c r="F290" s="147" t="s">
        <v>323</v>
      </c>
      <c r="G290" s="147" t="s">
        <v>325</v>
      </c>
      <c r="H290" s="148" t="s">
        <v>279</v>
      </c>
      <c r="I290" s="316">
        <v>10910</v>
      </c>
      <c r="J290" s="170">
        <f t="shared" si="39"/>
        <v>0</v>
      </c>
      <c r="K290" s="168" t="str">
        <f t="shared" si="40"/>
        <v xml:space="preserve"> </v>
      </c>
      <c r="L290" s="147">
        <f>I290</f>
        <v>10910</v>
      </c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32">
        <f t="shared" si="36"/>
        <v>10910</v>
      </c>
      <c r="AE290" s="132">
        <f t="shared" si="43"/>
        <v>10910</v>
      </c>
      <c r="AF290" s="150">
        <f t="shared" si="44"/>
        <v>0</v>
      </c>
    </row>
    <row r="291" spans="1:32" x14ac:dyDescent="0.25">
      <c r="A291" s="315" t="s">
        <v>785</v>
      </c>
      <c r="B291" s="315" t="s">
        <v>1291</v>
      </c>
      <c r="C291" s="169" t="str">
        <f t="shared" si="37"/>
        <v>A</v>
      </c>
      <c r="D291" s="146" t="str">
        <f t="shared" si="38"/>
        <v>4</v>
      </c>
      <c r="E291" s="147" t="s">
        <v>440</v>
      </c>
      <c r="F291" s="147" t="s">
        <v>323</v>
      </c>
      <c r="G291" s="147" t="s">
        <v>325</v>
      </c>
      <c r="H291" s="148" t="s">
        <v>279</v>
      </c>
      <c r="I291" s="316">
        <v>7760</v>
      </c>
      <c r="J291" s="170">
        <f t="shared" si="39"/>
        <v>0</v>
      </c>
      <c r="K291" s="168" t="str">
        <f t="shared" si="40"/>
        <v xml:space="preserve"> </v>
      </c>
      <c r="L291" s="147">
        <f t="shared" ref="L291:L302" si="50">I291</f>
        <v>7760</v>
      </c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  <c r="AD291" s="132">
        <f t="shared" si="36"/>
        <v>7760</v>
      </c>
      <c r="AE291" s="132">
        <f t="shared" si="43"/>
        <v>7760</v>
      </c>
      <c r="AF291" s="150">
        <f t="shared" si="44"/>
        <v>0</v>
      </c>
    </row>
    <row r="292" spans="1:32" x14ac:dyDescent="0.25">
      <c r="A292" s="315" t="s">
        <v>740</v>
      </c>
      <c r="B292" s="315" t="s">
        <v>1596</v>
      </c>
      <c r="C292" s="169" t="str">
        <f t="shared" si="37"/>
        <v>A</v>
      </c>
      <c r="D292" s="146" t="str">
        <f t="shared" si="38"/>
        <v>4</v>
      </c>
      <c r="E292" s="147" t="s">
        <v>440</v>
      </c>
      <c r="F292" s="147" t="s">
        <v>323</v>
      </c>
      <c r="G292" s="147" t="s">
        <v>325</v>
      </c>
      <c r="H292" s="148" t="s">
        <v>279</v>
      </c>
      <c r="I292" s="316">
        <v>1400</v>
      </c>
      <c r="J292" s="170">
        <f t="shared" si="39"/>
        <v>0</v>
      </c>
      <c r="K292" s="168" t="str">
        <f t="shared" si="40"/>
        <v xml:space="preserve"> </v>
      </c>
      <c r="L292" s="147">
        <f t="shared" si="50"/>
        <v>1400</v>
      </c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32">
        <f t="shared" si="36"/>
        <v>1400</v>
      </c>
      <c r="AE292" s="132">
        <f t="shared" si="43"/>
        <v>1400</v>
      </c>
      <c r="AF292" s="150">
        <f t="shared" si="44"/>
        <v>0</v>
      </c>
    </row>
    <row r="293" spans="1:32" x14ac:dyDescent="0.25">
      <c r="A293" s="315" t="s">
        <v>916</v>
      </c>
      <c r="B293" s="315" t="s">
        <v>1145</v>
      </c>
      <c r="C293" s="169" t="str">
        <f t="shared" si="37"/>
        <v>A</v>
      </c>
      <c r="D293" s="146" t="str">
        <f t="shared" si="38"/>
        <v>4</v>
      </c>
      <c r="E293" s="147" t="s">
        <v>440</v>
      </c>
      <c r="F293" s="147" t="s">
        <v>323</v>
      </c>
      <c r="G293" s="147" t="s">
        <v>325</v>
      </c>
      <c r="H293" s="148" t="s">
        <v>279</v>
      </c>
      <c r="I293" s="316">
        <v>3200</v>
      </c>
      <c r="J293" s="170">
        <f t="shared" si="39"/>
        <v>0</v>
      </c>
      <c r="K293" s="168" t="str">
        <f t="shared" si="40"/>
        <v xml:space="preserve"> </v>
      </c>
      <c r="L293" s="147">
        <f t="shared" si="50"/>
        <v>3200</v>
      </c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  <c r="AD293" s="132">
        <f t="shared" si="36"/>
        <v>3200</v>
      </c>
      <c r="AE293" s="132">
        <f t="shared" si="43"/>
        <v>3200</v>
      </c>
      <c r="AF293" s="150">
        <f t="shared" si="44"/>
        <v>0</v>
      </c>
    </row>
    <row r="294" spans="1:32" x14ac:dyDescent="0.25">
      <c r="A294" s="315" t="s">
        <v>1277</v>
      </c>
      <c r="B294" s="315" t="s">
        <v>1654</v>
      </c>
      <c r="C294" s="169" t="str">
        <f t="shared" si="37"/>
        <v>A</v>
      </c>
      <c r="D294" s="146" t="str">
        <f t="shared" si="38"/>
        <v>4</v>
      </c>
      <c r="E294" s="147" t="s">
        <v>440</v>
      </c>
      <c r="F294" s="147" t="s">
        <v>323</v>
      </c>
      <c r="G294" s="147" t="s">
        <v>325</v>
      </c>
      <c r="H294" s="148" t="s">
        <v>279</v>
      </c>
      <c r="I294" s="316">
        <v>2960</v>
      </c>
      <c r="J294" s="170">
        <f t="shared" si="39"/>
        <v>0</v>
      </c>
      <c r="K294" s="168" t="str">
        <f t="shared" si="40"/>
        <v xml:space="preserve"> </v>
      </c>
      <c r="L294" s="147">
        <f t="shared" si="50"/>
        <v>2960</v>
      </c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32">
        <f t="shared" si="36"/>
        <v>2960</v>
      </c>
      <c r="AE294" s="132">
        <f t="shared" si="43"/>
        <v>2960</v>
      </c>
      <c r="AF294" s="150">
        <f t="shared" si="44"/>
        <v>0</v>
      </c>
    </row>
    <row r="295" spans="1:32" x14ac:dyDescent="0.25">
      <c r="A295" s="315" t="s">
        <v>1034</v>
      </c>
      <c r="B295" s="315" t="s">
        <v>1042</v>
      </c>
      <c r="C295" s="169" t="str">
        <f t="shared" si="37"/>
        <v>A</v>
      </c>
      <c r="D295" s="146" t="str">
        <f t="shared" si="38"/>
        <v>4</v>
      </c>
      <c r="E295" s="147" t="s">
        <v>440</v>
      </c>
      <c r="F295" s="147" t="s">
        <v>323</v>
      </c>
      <c r="G295" s="147" t="s">
        <v>325</v>
      </c>
      <c r="H295" s="148" t="s">
        <v>279</v>
      </c>
      <c r="I295" s="316">
        <v>480</v>
      </c>
      <c r="J295" s="170">
        <f t="shared" si="39"/>
        <v>0</v>
      </c>
      <c r="K295" s="168" t="str">
        <f t="shared" si="40"/>
        <v xml:space="preserve"> </v>
      </c>
      <c r="L295" s="147">
        <f t="shared" si="50"/>
        <v>480</v>
      </c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32">
        <f t="shared" si="36"/>
        <v>480</v>
      </c>
      <c r="AE295" s="132">
        <f t="shared" si="43"/>
        <v>480</v>
      </c>
      <c r="AF295" s="150">
        <f t="shared" si="44"/>
        <v>0</v>
      </c>
    </row>
    <row r="296" spans="1:32" x14ac:dyDescent="0.25">
      <c r="A296" s="315" t="s">
        <v>1051</v>
      </c>
      <c r="B296" s="315" t="s">
        <v>1202</v>
      </c>
      <c r="C296" s="169" t="str">
        <f t="shared" si="37"/>
        <v>A</v>
      </c>
      <c r="D296" s="146" t="str">
        <f t="shared" si="38"/>
        <v>4</v>
      </c>
      <c r="E296" s="147" t="s">
        <v>440</v>
      </c>
      <c r="F296" s="147" t="s">
        <v>323</v>
      </c>
      <c r="G296" s="147" t="s">
        <v>325</v>
      </c>
      <c r="H296" s="148" t="s">
        <v>279</v>
      </c>
      <c r="I296" s="316">
        <v>6764</v>
      </c>
      <c r="J296" s="170">
        <f t="shared" si="39"/>
        <v>0</v>
      </c>
      <c r="K296" s="168" t="str">
        <f t="shared" si="40"/>
        <v xml:space="preserve"> </v>
      </c>
      <c r="L296" s="147">
        <f t="shared" si="50"/>
        <v>6764</v>
      </c>
      <c r="M296" s="147"/>
      <c r="N296" s="147"/>
      <c r="O296" s="147"/>
      <c r="P296" s="147"/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  <c r="AA296" s="147"/>
      <c r="AB296" s="147"/>
      <c r="AC296" s="147"/>
      <c r="AD296" s="132">
        <f t="shared" si="36"/>
        <v>6764</v>
      </c>
      <c r="AE296" s="132">
        <f t="shared" si="43"/>
        <v>6764</v>
      </c>
      <c r="AF296" s="150">
        <f t="shared" si="44"/>
        <v>0</v>
      </c>
    </row>
    <row r="297" spans="1:32" x14ac:dyDescent="0.25">
      <c r="A297" s="315" t="s">
        <v>1561</v>
      </c>
      <c r="B297" s="315" t="s">
        <v>1018</v>
      </c>
      <c r="C297" s="169" t="str">
        <f t="shared" si="37"/>
        <v>A</v>
      </c>
      <c r="D297" s="146" t="str">
        <f t="shared" si="38"/>
        <v>4</v>
      </c>
      <c r="E297" s="147" t="s">
        <v>440</v>
      </c>
      <c r="F297" s="147" t="s">
        <v>323</v>
      </c>
      <c r="G297" s="147" t="s">
        <v>325</v>
      </c>
      <c r="H297" s="148" t="s">
        <v>279</v>
      </c>
      <c r="I297" s="316">
        <v>21070</v>
      </c>
      <c r="J297" s="170">
        <f t="shared" si="39"/>
        <v>0</v>
      </c>
      <c r="K297" s="168" t="str">
        <f t="shared" si="40"/>
        <v xml:space="preserve"> </v>
      </c>
      <c r="L297" s="147">
        <f t="shared" si="50"/>
        <v>21070</v>
      </c>
      <c r="M297" s="147"/>
      <c r="N297" s="147"/>
      <c r="O297" s="147"/>
      <c r="P297" s="147"/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  <c r="AA297" s="147"/>
      <c r="AB297" s="147"/>
      <c r="AC297" s="147"/>
      <c r="AD297" s="132">
        <f t="shared" si="36"/>
        <v>21070</v>
      </c>
      <c r="AE297" s="132">
        <f t="shared" si="43"/>
        <v>21070</v>
      </c>
      <c r="AF297" s="150">
        <f t="shared" si="44"/>
        <v>0</v>
      </c>
    </row>
    <row r="298" spans="1:32" x14ac:dyDescent="0.25">
      <c r="A298" s="315" t="s">
        <v>671</v>
      </c>
      <c r="B298" s="315" t="s">
        <v>1052</v>
      </c>
      <c r="C298" s="169" t="str">
        <f t="shared" si="37"/>
        <v>A</v>
      </c>
      <c r="D298" s="146" t="str">
        <f t="shared" si="38"/>
        <v>4</v>
      </c>
      <c r="E298" s="147" t="s">
        <v>440</v>
      </c>
      <c r="F298" s="147" t="s">
        <v>323</v>
      </c>
      <c r="G298" s="147" t="s">
        <v>325</v>
      </c>
      <c r="H298" s="148" t="s">
        <v>279</v>
      </c>
      <c r="I298" s="316">
        <v>22786</v>
      </c>
      <c r="J298" s="170">
        <f t="shared" si="39"/>
        <v>0</v>
      </c>
      <c r="K298" s="168" t="str">
        <f t="shared" si="40"/>
        <v xml:space="preserve"> </v>
      </c>
      <c r="L298" s="147">
        <f t="shared" si="50"/>
        <v>22786</v>
      </c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32">
        <f t="shared" si="36"/>
        <v>22786</v>
      </c>
      <c r="AE298" s="132">
        <f t="shared" si="43"/>
        <v>22786</v>
      </c>
      <c r="AF298" s="150">
        <f t="shared" si="44"/>
        <v>0</v>
      </c>
    </row>
    <row r="299" spans="1:32" x14ac:dyDescent="0.25">
      <c r="A299" s="315" t="s">
        <v>1325</v>
      </c>
      <c r="B299" s="315" t="s">
        <v>830</v>
      </c>
      <c r="C299" s="169" t="str">
        <f t="shared" si="37"/>
        <v>A</v>
      </c>
      <c r="D299" s="146" t="str">
        <f t="shared" si="38"/>
        <v>4</v>
      </c>
      <c r="E299" s="147" t="s">
        <v>440</v>
      </c>
      <c r="F299" s="147" t="s">
        <v>323</v>
      </c>
      <c r="G299" s="147" t="s">
        <v>325</v>
      </c>
      <c r="H299" s="148" t="s">
        <v>279</v>
      </c>
      <c r="I299" s="316">
        <v>200</v>
      </c>
      <c r="J299" s="170">
        <f t="shared" si="39"/>
        <v>0</v>
      </c>
      <c r="K299" s="168" t="str">
        <f t="shared" si="40"/>
        <v xml:space="preserve"> </v>
      </c>
      <c r="L299" s="147">
        <f t="shared" si="50"/>
        <v>200</v>
      </c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32">
        <f t="shared" si="36"/>
        <v>200</v>
      </c>
      <c r="AE299" s="132">
        <f t="shared" si="43"/>
        <v>200</v>
      </c>
      <c r="AF299" s="150">
        <f t="shared" si="44"/>
        <v>0</v>
      </c>
    </row>
    <row r="300" spans="1:32" x14ac:dyDescent="0.25">
      <c r="A300" s="315" t="s">
        <v>682</v>
      </c>
      <c r="B300" s="315" t="s">
        <v>1114</v>
      </c>
      <c r="C300" s="169" t="str">
        <f t="shared" si="37"/>
        <v>A</v>
      </c>
      <c r="D300" s="146" t="str">
        <f t="shared" si="38"/>
        <v>4</v>
      </c>
      <c r="E300" s="147" t="s">
        <v>440</v>
      </c>
      <c r="F300" s="147" t="s">
        <v>323</v>
      </c>
      <c r="G300" s="147" t="s">
        <v>325</v>
      </c>
      <c r="H300" s="148" t="s">
        <v>279</v>
      </c>
      <c r="I300" s="316">
        <v>400</v>
      </c>
      <c r="J300" s="170">
        <f t="shared" si="39"/>
        <v>0</v>
      </c>
      <c r="K300" s="168" t="str">
        <f t="shared" si="40"/>
        <v xml:space="preserve"> </v>
      </c>
      <c r="L300" s="147">
        <f t="shared" si="50"/>
        <v>400</v>
      </c>
      <c r="M300" s="147"/>
      <c r="N300" s="147"/>
      <c r="O300" s="147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47"/>
      <c r="AC300" s="147"/>
      <c r="AD300" s="132">
        <f t="shared" si="36"/>
        <v>400</v>
      </c>
      <c r="AE300" s="132">
        <f t="shared" si="43"/>
        <v>400</v>
      </c>
      <c r="AF300" s="150">
        <f t="shared" si="44"/>
        <v>0</v>
      </c>
    </row>
    <row r="301" spans="1:32" x14ac:dyDescent="0.25">
      <c r="A301" s="315" t="s">
        <v>1531</v>
      </c>
      <c r="B301" s="315" t="s">
        <v>770</v>
      </c>
      <c r="C301" s="169" t="str">
        <f t="shared" si="37"/>
        <v>A</v>
      </c>
      <c r="D301" s="146" t="str">
        <f t="shared" si="38"/>
        <v>4</v>
      </c>
      <c r="E301" s="147" t="s">
        <v>440</v>
      </c>
      <c r="F301" s="147" t="s">
        <v>323</v>
      </c>
      <c r="G301" s="147" t="s">
        <v>325</v>
      </c>
      <c r="H301" s="148" t="s">
        <v>279</v>
      </c>
      <c r="I301" s="316">
        <v>8800</v>
      </c>
      <c r="J301" s="170">
        <f t="shared" si="39"/>
        <v>0</v>
      </c>
      <c r="K301" s="168" t="str">
        <f t="shared" si="40"/>
        <v xml:space="preserve"> </v>
      </c>
      <c r="L301" s="147">
        <f t="shared" si="50"/>
        <v>8800</v>
      </c>
      <c r="M301" s="147"/>
      <c r="N301" s="147"/>
      <c r="O301" s="147"/>
      <c r="P301" s="147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32">
        <f t="shared" si="36"/>
        <v>8800</v>
      </c>
      <c r="AE301" s="132">
        <f t="shared" si="43"/>
        <v>8800</v>
      </c>
      <c r="AF301" s="150">
        <f t="shared" si="44"/>
        <v>0</v>
      </c>
    </row>
    <row r="302" spans="1:32" x14ac:dyDescent="0.25">
      <c r="A302" s="315" t="s">
        <v>985</v>
      </c>
      <c r="B302" s="315" t="s">
        <v>872</v>
      </c>
      <c r="C302" s="169" t="str">
        <f t="shared" si="37"/>
        <v>A</v>
      </c>
      <c r="D302" s="146" t="str">
        <f t="shared" si="38"/>
        <v>4</v>
      </c>
      <c r="E302" s="147" t="s">
        <v>440</v>
      </c>
      <c r="F302" s="147" t="s">
        <v>323</v>
      </c>
      <c r="G302" s="147" t="s">
        <v>325</v>
      </c>
      <c r="H302" s="148" t="s">
        <v>279</v>
      </c>
      <c r="I302" s="316">
        <v>560</v>
      </c>
      <c r="J302" s="170">
        <f t="shared" si="39"/>
        <v>0</v>
      </c>
      <c r="K302" s="168" t="str">
        <f t="shared" si="40"/>
        <v xml:space="preserve"> </v>
      </c>
      <c r="L302" s="147">
        <f t="shared" si="50"/>
        <v>560</v>
      </c>
      <c r="M302" s="147"/>
      <c r="N302" s="147"/>
      <c r="O302" s="147"/>
      <c r="P302" s="147"/>
      <c r="Q302" s="147"/>
      <c r="R302" s="147"/>
      <c r="S302" s="147"/>
      <c r="T302" s="147"/>
      <c r="U302" s="147"/>
      <c r="V302" s="147"/>
      <c r="W302" s="147"/>
      <c r="X302" s="147"/>
      <c r="Y302" s="147"/>
      <c r="Z302" s="147"/>
      <c r="AA302" s="147"/>
      <c r="AB302" s="147"/>
      <c r="AC302" s="147"/>
      <c r="AD302" s="132">
        <f t="shared" si="36"/>
        <v>560</v>
      </c>
      <c r="AE302" s="132">
        <f t="shared" si="43"/>
        <v>560</v>
      </c>
      <c r="AF302" s="150">
        <f t="shared" si="44"/>
        <v>0</v>
      </c>
    </row>
    <row r="303" spans="1:32" x14ac:dyDescent="0.25">
      <c r="A303" s="315" t="s">
        <v>1256</v>
      </c>
      <c r="B303" s="315" t="s">
        <v>930</v>
      </c>
      <c r="C303" s="169" t="str">
        <f t="shared" si="37"/>
        <v>A</v>
      </c>
      <c r="D303" s="146" t="str">
        <f t="shared" si="38"/>
        <v>4</v>
      </c>
      <c r="E303" s="147" t="s">
        <v>440</v>
      </c>
      <c r="F303" s="147" t="s">
        <v>323</v>
      </c>
      <c r="G303" s="147" t="s">
        <v>325</v>
      </c>
      <c r="H303" s="148" t="s">
        <v>279</v>
      </c>
      <c r="I303" s="316">
        <v>6720</v>
      </c>
      <c r="J303" s="170">
        <f t="shared" si="39"/>
        <v>0</v>
      </c>
      <c r="K303" s="168" t="str">
        <f t="shared" si="40"/>
        <v xml:space="preserve"> </v>
      </c>
      <c r="L303" s="147"/>
      <c r="M303" s="147">
        <f>I303</f>
        <v>6720</v>
      </c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7"/>
      <c r="AB303" s="147"/>
      <c r="AC303" s="147"/>
      <c r="AD303" s="132">
        <f t="shared" si="36"/>
        <v>6720</v>
      </c>
      <c r="AE303" s="132">
        <f t="shared" si="43"/>
        <v>6720</v>
      </c>
      <c r="AF303" s="150">
        <f t="shared" si="44"/>
        <v>0</v>
      </c>
    </row>
    <row r="304" spans="1:32" x14ac:dyDescent="0.25">
      <c r="A304" s="315" t="s">
        <v>1740</v>
      </c>
      <c r="B304" s="315" t="s">
        <v>592</v>
      </c>
      <c r="C304" s="169" t="str">
        <f t="shared" si="37"/>
        <v>A</v>
      </c>
      <c r="D304" s="146" t="str">
        <f t="shared" si="38"/>
        <v>4</v>
      </c>
      <c r="E304" s="147" t="s">
        <v>440</v>
      </c>
      <c r="F304" s="147" t="s">
        <v>323</v>
      </c>
      <c r="G304" s="147" t="s">
        <v>325</v>
      </c>
      <c r="H304" s="148" t="s">
        <v>279</v>
      </c>
      <c r="I304" s="316">
        <v>1360</v>
      </c>
      <c r="J304" s="170">
        <f t="shared" si="39"/>
        <v>0</v>
      </c>
      <c r="K304" s="168" t="str">
        <f t="shared" si="40"/>
        <v xml:space="preserve"> </v>
      </c>
      <c r="L304" s="147"/>
      <c r="M304" s="147">
        <f t="shared" ref="M304:M314" si="51">I304</f>
        <v>1360</v>
      </c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7"/>
      <c r="AB304" s="147"/>
      <c r="AC304" s="147"/>
      <c r="AD304" s="132">
        <f t="shared" si="36"/>
        <v>1360</v>
      </c>
      <c r="AE304" s="132">
        <f t="shared" si="43"/>
        <v>1360</v>
      </c>
      <c r="AF304" s="150">
        <f t="shared" si="44"/>
        <v>0</v>
      </c>
    </row>
    <row r="305" spans="1:32" x14ac:dyDescent="0.25">
      <c r="A305" s="315" t="s">
        <v>1345</v>
      </c>
      <c r="B305" s="315" t="s">
        <v>1527</v>
      </c>
      <c r="C305" s="169" t="str">
        <f t="shared" si="37"/>
        <v>A</v>
      </c>
      <c r="D305" s="146" t="str">
        <f t="shared" si="38"/>
        <v>4</v>
      </c>
      <c r="E305" s="147" t="s">
        <v>440</v>
      </c>
      <c r="F305" s="147" t="s">
        <v>323</v>
      </c>
      <c r="G305" s="147" t="s">
        <v>325</v>
      </c>
      <c r="H305" s="148" t="s">
        <v>279</v>
      </c>
      <c r="I305" s="316">
        <v>1600</v>
      </c>
      <c r="J305" s="170">
        <f t="shared" si="39"/>
        <v>0</v>
      </c>
      <c r="K305" s="168" t="str">
        <f t="shared" si="40"/>
        <v xml:space="preserve"> </v>
      </c>
      <c r="L305" s="147"/>
      <c r="M305" s="147">
        <f t="shared" si="51"/>
        <v>1600</v>
      </c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32">
        <f t="shared" si="36"/>
        <v>1600</v>
      </c>
      <c r="AE305" s="132">
        <f t="shared" si="43"/>
        <v>1600</v>
      </c>
      <c r="AF305" s="150">
        <f t="shared" si="44"/>
        <v>0</v>
      </c>
    </row>
    <row r="306" spans="1:32" x14ac:dyDescent="0.25">
      <c r="A306" s="315" t="s">
        <v>1269</v>
      </c>
      <c r="B306" s="315" t="s">
        <v>684</v>
      </c>
      <c r="C306" s="169" t="str">
        <f t="shared" si="37"/>
        <v>A</v>
      </c>
      <c r="D306" s="146" t="str">
        <f t="shared" si="38"/>
        <v>4</v>
      </c>
      <c r="E306" s="147" t="s">
        <v>440</v>
      </c>
      <c r="F306" s="147" t="s">
        <v>323</v>
      </c>
      <c r="G306" s="147" t="s">
        <v>325</v>
      </c>
      <c r="H306" s="148" t="s">
        <v>279</v>
      </c>
      <c r="I306" s="316">
        <v>4960</v>
      </c>
      <c r="J306" s="170">
        <f t="shared" si="39"/>
        <v>0</v>
      </c>
      <c r="K306" s="168" t="str">
        <f t="shared" si="40"/>
        <v xml:space="preserve"> </v>
      </c>
      <c r="L306" s="147"/>
      <c r="M306" s="147">
        <f t="shared" si="51"/>
        <v>4960</v>
      </c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  <c r="AA306" s="147"/>
      <c r="AB306" s="147"/>
      <c r="AC306" s="147"/>
      <c r="AD306" s="132">
        <f t="shared" si="36"/>
        <v>4960</v>
      </c>
      <c r="AE306" s="132">
        <f t="shared" si="43"/>
        <v>4960</v>
      </c>
      <c r="AF306" s="150">
        <f t="shared" si="44"/>
        <v>0</v>
      </c>
    </row>
    <row r="307" spans="1:32" x14ac:dyDescent="0.25">
      <c r="A307" s="315" t="s">
        <v>656</v>
      </c>
      <c r="B307" s="315" t="s">
        <v>828</v>
      </c>
      <c r="C307" s="169" t="str">
        <f t="shared" si="37"/>
        <v>A</v>
      </c>
      <c r="D307" s="146" t="str">
        <f t="shared" si="38"/>
        <v>4</v>
      </c>
      <c r="E307" s="147" t="s">
        <v>440</v>
      </c>
      <c r="F307" s="147" t="s">
        <v>323</v>
      </c>
      <c r="G307" s="147" t="s">
        <v>325</v>
      </c>
      <c r="H307" s="148" t="s">
        <v>279</v>
      </c>
      <c r="I307" s="316">
        <v>9760</v>
      </c>
      <c r="J307" s="170">
        <f t="shared" si="39"/>
        <v>0</v>
      </c>
      <c r="K307" s="168" t="str">
        <f t="shared" si="40"/>
        <v xml:space="preserve"> </v>
      </c>
      <c r="L307" s="147"/>
      <c r="M307" s="147">
        <f t="shared" si="51"/>
        <v>9760</v>
      </c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32">
        <f t="shared" si="36"/>
        <v>9760</v>
      </c>
      <c r="AE307" s="132">
        <f t="shared" si="43"/>
        <v>9760</v>
      </c>
      <c r="AF307" s="150">
        <f t="shared" si="44"/>
        <v>0</v>
      </c>
    </row>
    <row r="308" spans="1:32" x14ac:dyDescent="0.25">
      <c r="A308" s="315" t="s">
        <v>628</v>
      </c>
      <c r="B308" s="315" t="s">
        <v>658</v>
      </c>
      <c r="C308" s="169" t="str">
        <f t="shared" si="37"/>
        <v>A</v>
      </c>
      <c r="D308" s="146" t="str">
        <f t="shared" si="38"/>
        <v>4</v>
      </c>
      <c r="E308" s="147" t="s">
        <v>440</v>
      </c>
      <c r="F308" s="147" t="s">
        <v>323</v>
      </c>
      <c r="G308" s="147" t="s">
        <v>325</v>
      </c>
      <c r="H308" s="148" t="s">
        <v>279</v>
      </c>
      <c r="I308" s="316">
        <v>6092</v>
      </c>
      <c r="J308" s="170">
        <f t="shared" si="39"/>
        <v>0</v>
      </c>
      <c r="K308" s="168" t="str">
        <f t="shared" si="40"/>
        <v xml:space="preserve"> </v>
      </c>
      <c r="L308" s="147"/>
      <c r="M308" s="147">
        <f t="shared" si="51"/>
        <v>6092</v>
      </c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32">
        <f t="shared" si="36"/>
        <v>6092</v>
      </c>
      <c r="AE308" s="132">
        <f t="shared" si="43"/>
        <v>6092</v>
      </c>
      <c r="AF308" s="150">
        <f t="shared" si="44"/>
        <v>0</v>
      </c>
    </row>
    <row r="309" spans="1:32" x14ac:dyDescent="0.25">
      <c r="A309" s="315" t="s">
        <v>1430</v>
      </c>
      <c r="B309" s="315" t="s">
        <v>1540</v>
      </c>
      <c r="C309" s="169" t="str">
        <f t="shared" si="37"/>
        <v>A</v>
      </c>
      <c r="D309" s="146" t="str">
        <f t="shared" si="38"/>
        <v>4</v>
      </c>
      <c r="E309" s="147" t="s">
        <v>440</v>
      </c>
      <c r="F309" s="147" t="s">
        <v>323</v>
      </c>
      <c r="G309" s="147" t="s">
        <v>325</v>
      </c>
      <c r="H309" s="148" t="s">
        <v>279</v>
      </c>
      <c r="I309" s="316">
        <v>400</v>
      </c>
      <c r="J309" s="170">
        <f t="shared" si="39"/>
        <v>0</v>
      </c>
      <c r="K309" s="168" t="str">
        <f t="shared" si="40"/>
        <v xml:space="preserve"> </v>
      </c>
      <c r="L309" s="147"/>
      <c r="M309" s="147">
        <f t="shared" si="51"/>
        <v>400</v>
      </c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32">
        <f t="shared" si="36"/>
        <v>400</v>
      </c>
      <c r="AE309" s="132">
        <f t="shared" ref="AE309:AE351" si="52">SUM(J309,K309,AD309)</f>
        <v>400</v>
      </c>
      <c r="AF309" s="150">
        <f t="shared" ref="AF309:AF351" si="53">+I309-AE309</f>
        <v>0</v>
      </c>
    </row>
    <row r="310" spans="1:32" x14ac:dyDescent="0.25">
      <c r="A310" s="315" t="s">
        <v>793</v>
      </c>
      <c r="B310" s="315" t="s">
        <v>666</v>
      </c>
      <c r="C310" s="169" t="str">
        <f t="shared" si="37"/>
        <v>A</v>
      </c>
      <c r="D310" s="146" t="str">
        <f t="shared" si="38"/>
        <v>4</v>
      </c>
      <c r="E310" s="147" t="s">
        <v>440</v>
      </c>
      <c r="F310" s="147" t="s">
        <v>323</v>
      </c>
      <c r="G310" s="147" t="s">
        <v>325</v>
      </c>
      <c r="H310" s="148" t="s">
        <v>279</v>
      </c>
      <c r="I310" s="316">
        <v>300</v>
      </c>
      <c r="J310" s="170">
        <f t="shared" si="39"/>
        <v>0</v>
      </c>
      <c r="K310" s="168" t="str">
        <f t="shared" si="40"/>
        <v xml:space="preserve"> </v>
      </c>
      <c r="L310" s="147"/>
      <c r="M310" s="147">
        <f t="shared" si="51"/>
        <v>300</v>
      </c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32">
        <f t="shared" si="36"/>
        <v>300</v>
      </c>
      <c r="AE310" s="132">
        <f t="shared" si="52"/>
        <v>300</v>
      </c>
      <c r="AF310" s="150">
        <f t="shared" si="53"/>
        <v>0</v>
      </c>
    </row>
    <row r="311" spans="1:32" x14ac:dyDescent="0.25">
      <c r="A311" s="315" t="s">
        <v>463</v>
      </c>
      <c r="B311" s="315" t="s">
        <v>829</v>
      </c>
      <c r="C311" s="169" t="str">
        <f t="shared" si="37"/>
        <v>A</v>
      </c>
      <c r="D311" s="146" t="str">
        <f t="shared" si="38"/>
        <v>4</v>
      </c>
      <c r="E311" s="147" t="s">
        <v>440</v>
      </c>
      <c r="F311" s="147" t="s">
        <v>323</v>
      </c>
      <c r="G311" s="147" t="s">
        <v>325</v>
      </c>
      <c r="H311" s="148" t="s">
        <v>279</v>
      </c>
      <c r="I311" s="316">
        <v>612</v>
      </c>
      <c r="J311" s="170">
        <f t="shared" si="39"/>
        <v>0</v>
      </c>
      <c r="K311" s="168" t="str">
        <f t="shared" si="40"/>
        <v xml:space="preserve"> </v>
      </c>
      <c r="L311" s="147"/>
      <c r="M311" s="147">
        <f t="shared" si="51"/>
        <v>612</v>
      </c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  <c r="AA311" s="147"/>
      <c r="AB311" s="147"/>
      <c r="AC311" s="147"/>
      <c r="AD311" s="132">
        <f t="shared" si="36"/>
        <v>612</v>
      </c>
      <c r="AE311" s="132">
        <f t="shared" si="52"/>
        <v>612</v>
      </c>
      <c r="AF311" s="150">
        <f t="shared" si="53"/>
        <v>0</v>
      </c>
    </row>
    <row r="312" spans="1:32" x14ac:dyDescent="0.25">
      <c r="A312" s="315" t="s">
        <v>673</v>
      </c>
      <c r="B312" s="315" t="s">
        <v>493</v>
      </c>
      <c r="C312" s="169" t="str">
        <f t="shared" si="37"/>
        <v>A</v>
      </c>
      <c r="D312" s="146" t="str">
        <f t="shared" si="38"/>
        <v>4</v>
      </c>
      <c r="E312" s="147" t="s">
        <v>440</v>
      </c>
      <c r="F312" s="147" t="s">
        <v>323</v>
      </c>
      <c r="G312" s="147" t="s">
        <v>325</v>
      </c>
      <c r="H312" s="148" t="s">
        <v>279</v>
      </c>
      <c r="I312" s="316">
        <v>2366</v>
      </c>
      <c r="J312" s="170">
        <f t="shared" si="39"/>
        <v>0</v>
      </c>
      <c r="K312" s="168" t="str">
        <f t="shared" si="40"/>
        <v xml:space="preserve"> </v>
      </c>
      <c r="L312" s="147"/>
      <c r="M312" s="147">
        <f t="shared" si="51"/>
        <v>2366</v>
      </c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32">
        <f t="shared" si="36"/>
        <v>2366</v>
      </c>
      <c r="AE312" s="132">
        <f t="shared" si="52"/>
        <v>2366</v>
      </c>
      <c r="AF312" s="150">
        <f t="shared" si="53"/>
        <v>0</v>
      </c>
    </row>
    <row r="313" spans="1:32" x14ac:dyDescent="0.25">
      <c r="A313" s="315" t="s">
        <v>1445</v>
      </c>
      <c r="B313" s="315" t="s">
        <v>1671</v>
      </c>
      <c r="C313" s="169" t="str">
        <f t="shared" si="37"/>
        <v>A</v>
      </c>
      <c r="D313" s="146" t="str">
        <f t="shared" si="38"/>
        <v>4</v>
      </c>
      <c r="E313" s="147" t="s">
        <v>440</v>
      </c>
      <c r="F313" s="147" t="s">
        <v>323</v>
      </c>
      <c r="G313" s="147" t="s">
        <v>325</v>
      </c>
      <c r="H313" s="148" t="s">
        <v>279</v>
      </c>
      <c r="I313" s="316">
        <v>400</v>
      </c>
      <c r="J313" s="170">
        <f t="shared" si="39"/>
        <v>0</v>
      </c>
      <c r="K313" s="168" t="str">
        <f t="shared" si="40"/>
        <v xml:space="preserve"> </v>
      </c>
      <c r="L313" s="147"/>
      <c r="M313" s="147">
        <f t="shared" si="51"/>
        <v>400</v>
      </c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32">
        <f t="shared" si="36"/>
        <v>400</v>
      </c>
      <c r="AE313" s="132">
        <f t="shared" si="52"/>
        <v>400</v>
      </c>
      <c r="AF313" s="150">
        <f t="shared" si="53"/>
        <v>0</v>
      </c>
    </row>
    <row r="314" spans="1:32" x14ac:dyDescent="0.25">
      <c r="A314" s="315" t="s">
        <v>1602</v>
      </c>
      <c r="B314" s="315" t="s">
        <v>689</v>
      </c>
      <c r="C314" s="169" t="str">
        <f t="shared" si="37"/>
        <v>A</v>
      </c>
      <c r="D314" s="146" t="str">
        <f t="shared" si="38"/>
        <v>4</v>
      </c>
      <c r="E314" s="147" t="s">
        <v>440</v>
      </c>
      <c r="F314" s="147" t="s">
        <v>323</v>
      </c>
      <c r="G314" s="147" t="s">
        <v>325</v>
      </c>
      <c r="H314" s="148" t="s">
        <v>279</v>
      </c>
      <c r="I314" s="316">
        <v>1344</v>
      </c>
      <c r="J314" s="170">
        <f t="shared" si="39"/>
        <v>0</v>
      </c>
      <c r="K314" s="168" t="str">
        <f t="shared" si="40"/>
        <v xml:space="preserve"> </v>
      </c>
      <c r="L314" s="147"/>
      <c r="M314" s="147">
        <f t="shared" si="51"/>
        <v>1344</v>
      </c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32">
        <f t="shared" si="36"/>
        <v>1344</v>
      </c>
      <c r="AE314" s="132">
        <f t="shared" si="52"/>
        <v>1344</v>
      </c>
      <c r="AF314" s="150">
        <f t="shared" si="53"/>
        <v>0</v>
      </c>
    </row>
    <row r="315" spans="1:32" x14ac:dyDescent="0.25">
      <c r="A315" s="315" t="s">
        <v>1650</v>
      </c>
      <c r="B315" s="315" t="s">
        <v>1205</v>
      </c>
      <c r="C315" s="169" t="str">
        <f t="shared" si="37"/>
        <v>A</v>
      </c>
      <c r="D315" s="146" t="str">
        <f t="shared" si="38"/>
        <v>4</v>
      </c>
      <c r="E315" s="147" t="s">
        <v>440</v>
      </c>
      <c r="F315" s="147" t="s">
        <v>323</v>
      </c>
      <c r="G315" s="147" t="s">
        <v>325</v>
      </c>
      <c r="H315" s="148" t="s">
        <v>279</v>
      </c>
      <c r="I315" s="316">
        <v>2800</v>
      </c>
      <c r="J315" s="170">
        <f t="shared" si="39"/>
        <v>0</v>
      </c>
      <c r="K315" s="168" t="str">
        <f t="shared" si="40"/>
        <v xml:space="preserve"> </v>
      </c>
      <c r="L315" s="147"/>
      <c r="M315" s="147"/>
      <c r="N315" s="147">
        <f>I315</f>
        <v>2800</v>
      </c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32">
        <f t="shared" si="36"/>
        <v>2800</v>
      </c>
      <c r="AE315" s="132">
        <f t="shared" si="52"/>
        <v>2800</v>
      </c>
      <c r="AF315" s="150">
        <f t="shared" si="53"/>
        <v>0</v>
      </c>
    </row>
    <row r="316" spans="1:32" x14ac:dyDescent="0.25">
      <c r="A316" s="315" t="s">
        <v>1310</v>
      </c>
      <c r="B316" s="315" t="s">
        <v>718</v>
      </c>
      <c r="C316" s="169" t="str">
        <f t="shared" si="37"/>
        <v>A</v>
      </c>
      <c r="D316" s="146" t="str">
        <f t="shared" si="38"/>
        <v>4</v>
      </c>
      <c r="E316" s="147" t="s">
        <v>440</v>
      </c>
      <c r="F316" s="147" t="s">
        <v>323</v>
      </c>
      <c r="G316" s="147" t="s">
        <v>325</v>
      </c>
      <c r="H316" s="148" t="s">
        <v>279</v>
      </c>
      <c r="I316" s="316">
        <v>184</v>
      </c>
      <c r="J316" s="170">
        <f t="shared" si="39"/>
        <v>0</v>
      </c>
      <c r="K316" s="168" t="str">
        <f t="shared" si="40"/>
        <v xml:space="preserve"> </v>
      </c>
      <c r="L316" s="147"/>
      <c r="M316" s="147"/>
      <c r="N316" s="147">
        <f t="shared" ref="N316:N318" si="54">I316</f>
        <v>184</v>
      </c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32">
        <f t="shared" si="36"/>
        <v>184</v>
      </c>
      <c r="AE316" s="132">
        <f t="shared" si="52"/>
        <v>184</v>
      </c>
      <c r="AF316" s="150">
        <f t="shared" si="53"/>
        <v>0</v>
      </c>
    </row>
    <row r="317" spans="1:32" x14ac:dyDescent="0.25">
      <c r="A317" s="315" t="s">
        <v>1470</v>
      </c>
      <c r="B317" s="315" t="s">
        <v>1234</v>
      </c>
      <c r="C317" s="169" t="str">
        <f t="shared" si="37"/>
        <v>A</v>
      </c>
      <c r="D317" s="146" t="str">
        <f t="shared" si="38"/>
        <v>4</v>
      </c>
      <c r="E317" s="147" t="s">
        <v>440</v>
      </c>
      <c r="F317" s="147" t="s">
        <v>323</v>
      </c>
      <c r="G317" s="147" t="s">
        <v>325</v>
      </c>
      <c r="H317" s="148" t="s">
        <v>279</v>
      </c>
      <c r="I317" s="316">
        <v>800</v>
      </c>
      <c r="J317" s="170">
        <f t="shared" si="39"/>
        <v>0</v>
      </c>
      <c r="K317" s="168" t="str">
        <f t="shared" si="40"/>
        <v xml:space="preserve"> </v>
      </c>
      <c r="L317" s="147"/>
      <c r="M317" s="147"/>
      <c r="N317" s="147">
        <f t="shared" si="54"/>
        <v>800</v>
      </c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32">
        <f t="shared" si="36"/>
        <v>800</v>
      </c>
      <c r="AE317" s="132">
        <f t="shared" si="52"/>
        <v>800</v>
      </c>
      <c r="AF317" s="150">
        <f t="shared" si="53"/>
        <v>0</v>
      </c>
    </row>
    <row r="318" spans="1:32" x14ac:dyDescent="0.25">
      <c r="A318" s="315" t="s">
        <v>1326</v>
      </c>
      <c r="B318" s="315" t="s">
        <v>1212</v>
      </c>
      <c r="C318" s="169" t="str">
        <f t="shared" si="37"/>
        <v>A</v>
      </c>
      <c r="D318" s="146" t="str">
        <f t="shared" si="38"/>
        <v>4</v>
      </c>
      <c r="E318" s="147" t="s">
        <v>440</v>
      </c>
      <c r="F318" s="147" t="s">
        <v>323</v>
      </c>
      <c r="G318" s="147" t="s">
        <v>325</v>
      </c>
      <c r="H318" s="148" t="s">
        <v>279</v>
      </c>
      <c r="I318" s="316">
        <v>18048</v>
      </c>
      <c r="J318" s="170">
        <f t="shared" si="39"/>
        <v>0</v>
      </c>
      <c r="K318" s="168" t="str">
        <f t="shared" si="40"/>
        <v xml:space="preserve"> </v>
      </c>
      <c r="L318" s="147"/>
      <c r="M318" s="147"/>
      <c r="N318" s="147">
        <f t="shared" si="54"/>
        <v>18048</v>
      </c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32">
        <f t="shared" si="36"/>
        <v>18048</v>
      </c>
      <c r="AE318" s="132">
        <f t="shared" si="52"/>
        <v>18048</v>
      </c>
      <c r="AF318" s="150">
        <f t="shared" si="53"/>
        <v>0</v>
      </c>
    </row>
    <row r="319" spans="1:32" x14ac:dyDescent="0.25">
      <c r="A319" s="315" t="s">
        <v>1508</v>
      </c>
      <c r="B319" s="315" t="s">
        <v>1027</v>
      </c>
      <c r="C319" s="169" t="str">
        <f t="shared" si="37"/>
        <v>A</v>
      </c>
      <c r="D319" s="146" t="str">
        <f t="shared" si="38"/>
        <v>4</v>
      </c>
      <c r="E319" s="147" t="s">
        <v>440</v>
      </c>
      <c r="F319" s="147" t="s">
        <v>323</v>
      </c>
      <c r="G319" s="147" t="s">
        <v>325</v>
      </c>
      <c r="H319" s="148" t="s">
        <v>279</v>
      </c>
      <c r="I319" s="316">
        <v>2800</v>
      </c>
      <c r="J319" s="170">
        <f t="shared" si="39"/>
        <v>0</v>
      </c>
      <c r="K319" s="168" t="str">
        <f t="shared" si="40"/>
        <v xml:space="preserve"> </v>
      </c>
      <c r="L319" s="147"/>
      <c r="M319" s="147"/>
      <c r="N319" s="147"/>
      <c r="O319" s="147">
        <f>I319</f>
        <v>2800</v>
      </c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  <c r="AA319" s="147"/>
      <c r="AB319" s="147"/>
      <c r="AC319" s="147"/>
      <c r="AD319" s="132">
        <f t="shared" si="36"/>
        <v>2800</v>
      </c>
      <c r="AE319" s="132">
        <f t="shared" si="52"/>
        <v>2800</v>
      </c>
      <c r="AF319" s="150">
        <f t="shared" si="53"/>
        <v>0</v>
      </c>
    </row>
    <row r="320" spans="1:32" x14ac:dyDescent="0.25">
      <c r="A320" s="315" t="s">
        <v>1093</v>
      </c>
      <c r="B320" s="315" t="s">
        <v>590</v>
      </c>
      <c r="C320" s="169" t="str">
        <f t="shared" si="37"/>
        <v>A</v>
      </c>
      <c r="D320" s="146" t="str">
        <f t="shared" si="38"/>
        <v>4</v>
      </c>
      <c r="E320" s="147" t="s">
        <v>440</v>
      </c>
      <c r="F320" s="147" t="s">
        <v>323</v>
      </c>
      <c r="G320" s="147" t="s">
        <v>325</v>
      </c>
      <c r="H320" s="148" t="s">
        <v>279</v>
      </c>
      <c r="I320" s="316">
        <v>800</v>
      </c>
      <c r="J320" s="170">
        <f t="shared" si="39"/>
        <v>0</v>
      </c>
      <c r="K320" s="168" t="str">
        <f t="shared" si="40"/>
        <v xml:space="preserve"> </v>
      </c>
      <c r="L320" s="147"/>
      <c r="M320" s="147"/>
      <c r="N320" s="147"/>
      <c r="O320" s="147">
        <f>I320</f>
        <v>800</v>
      </c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32">
        <f t="shared" si="36"/>
        <v>800</v>
      </c>
      <c r="AE320" s="132">
        <f t="shared" si="52"/>
        <v>800</v>
      </c>
      <c r="AF320" s="150">
        <f t="shared" si="53"/>
        <v>0</v>
      </c>
    </row>
    <row r="321" spans="1:32" x14ac:dyDescent="0.25">
      <c r="A321" s="315" t="s">
        <v>952</v>
      </c>
      <c r="B321" s="315" t="s">
        <v>527</v>
      </c>
      <c r="C321" s="169" t="str">
        <f t="shared" si="37"/>
        <v>A</v>
      </c>
      <c r="D321" s="146" t="str">
        <f t="shared" si="38"/>
        <v>4</v>
      </c>
      <c r="E321" s="147" t="s">
        <v>440</v>
      </c>
      <c r="F321" s="147" t="s">
        <v>323</v>
      </c>
      <c r="G321" s="147" t="s">
        <v>325</v>
      </c>
      <c r="H321" s="148" t="s">
        <v>279</v>
      </c>
      <c r="I321" s="316">
        <v>12800</v>
      </c>
      <c r="J321" s="170">
        <f t="shared" si="39"/>
        <v>0</v>
      </c>
      <c r="K321" s="168" t="str">
        <f t="shared" si="40"/>
        <v xml:space="preserve"> </v>
      </c>
      <c r="L321" s="147"/>
      <c r="M321" s="147"/>
      <c r="N321" s="147"/>
      <c r="O321" s="147">
        <f>I321</f>
        <v>12800</v>
      </c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32">
        <f t="shared" si="36"/>
        <v>12800</v>
      </c>
      <c r="AE321" s="132">
        <f t="shared" si="52"/>
        <v>12800</v>
      </c>
      <c r="AF321" s="150">
        <f t="shared" si="53"/>
        <v>0</v>
      </c>
    </row>
    <row r="322" spans="1:32" x14ac:dyDescent="0.25">
      <c r="A322" s="315" t="s">
        <v>1537</v>
      </c>
      <c r="B322" s="315" t="s">
        <v>1009</v>
      </c>
      <c r="C322" s="169" t="str">
        <f t="shared" si="37"/>
        <v>A</v>
      </c>
      <c r="D322" s="146" t="str">
        <f t="shared" si="38"/>
        <v>4</v>
      </c>
      <c r="E322" s="147" t="s">
        <v>440</v>
      </c>
      <c r="F322" s="147" t="s">
        <v>323</v>
      </c>
      <c r="G322" s="147" t="s">
        <v>325</v>
      </c>
      <c r="H322" s="148" t="s">
        <v>279</v>
      </c>
      <c r="I322" s="316">
        <v>160</v>
      </c>
      <c r="J322" s="170">
        <f t="shared" si="39"/>
        <v>0</v>
      </c>
      <c r="K322" s="168" t="str">
        <f t="shared" si="40"/>
        <v xml:space="preserve"> </v>
      </c>
      <c r="L322" s="147"/>
      <c r="M322" s="147"/>
      <c r="N322" s="147"/>
      <c r="O322" s="147">
        <f>I322</f>
        <v>160</v>
      </c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  <c r="AA322" s="147"/>
      <c r="AB322" s="147"/>
      <c r="AC322" s="147"/>
      <c r="AD322" s="132">
        <f t="shared" si="36"/>
        <v>160</v>
      </c>
      <c r="AE322" s="132">
        <f t="shared" si="52"/>
        <v>160</v>
      </c>
      <c r="AF322" s="150">
        <f t="shared" si="53"/>
        <v>0</v>
      </c>
    </row>
    <row r="323" spans="1:32" x14ac:dyDescent="0.25">
      <c r="A323" s="315" t="s">
        <v>556</v>
      </c>
      <c r="B323" s="315" t="s">
        <v>1063</v>
      </c>
      <c r="C323" s="169" t="str">
        <f t="shared" si="37"/>
        <v>A</v>
      </c>
      <c r="D323" s="146" t="str">
        <f t="shared" si="38"/>
        <v>4</v>
      </c>
      <c r="E323" s="147" t="s">
        <v>440</v>
      </c>
      <c r="F323" s="147" t="s">
        <v>323</v>
      </c>
      <c r="G323" s="147" t="s">
        <v>325</v>
      </c>
      <c r="H323" s="148" t="s">
        <v>279</v>
      </c>
      <c r="I323" s="316">
        <v>2800</v>
      </c>
      <c r="J323" s="170">
        <f t="shared" si="39"/>
        <v>0</v>
      </c>
      <c r="K323" s="168" t="str">
        <f t="shared" si="40"/>
        <v xml:space="preserve"> </v>
      </c>
      <c r="L323" s="147"/>
      <c r="M323" s="147"/>
      <c r="N323" s="147"/>
      <c r="O323" s="147"/>
      <c r="P323" s="147">
        <f>I323</f>
        <v>2800</v>
      </c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  <c r="AA323" s="147"/>
      <c r="AB323" s="147"/>
      <c r="AC323" s="147"/>
      <c r="AD323" s="132">
        <f t="shared" si="36"/>
        <v>2800</v>
      </c>
      <c r="AE323" s="132">
        <f t="shared" si="52"/>
        <v>2800</v>
      </c>
      <c r="AF323" s="150">
        <f t="shared" si="53"/>
        <v>0</v>
      </c>
    </row>
    <row r="324" spans="1:32" x14ac:dyDescent="0.25">
      <c r="A324" s="315" t="s">
        <v>497</v>
      </c>
      <c r="B324" s="315" t="s">
        <v>1672</v>
      </c>
      <c r="C324" s="169" t="str">
        <f t="shared" si="37"/>
        <v>A</v>
      </c>
      <c r="D324" s="146" t="str">
        <f t="shared" si="38"/>
        <v>4</v>
      </c>
      <c r="E324" s="147" t="s">
        <v>440</v>
      </c>
      <c r="F324" s="147" t="s">
        <v>323</v>
      </c>
      <c r="G324" s="147" t="s">
        <v>325</v>
      </c>
      <c r="H324" s="148" t="s">
        <v>279</v>
      </c>
      <c r="I324" s="316">
        <v>104</v>
      </c>
      <c r="J324" s="170">
        <f t="shared" si="39"/>
        <v>0</v>
      </c>
      <c r="K324" s="168" t="str">
        <f t="shared" si="40"/>
        <v xml:space="preserve"> </v>
      </c>
      <c r="L324" s="147"/>
      <c r="M324" s="147"/>
      <c r="N324" s="147"/>
      <c r="O324" s="147"/>
      <c r="P324" s="147">
        <f>I324</f>
        <v>104</v>
      </c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32">
        <f t="shared" si="36"/>
        <v>104</v>
      </c>
      <c r="AE324" s="132">
        <f t="shared" si="52"/>
        <v>104</v>
      </c>
      <c r="AF324" s="150">
        <f t="shared" si="53"/>
        <v>0</v>
      </c>
    </row>
    <row r="325" spans="1:32" x14ac:dyDescent="0.25">
      <c r="A325" s="315" t="s">
        <v>989</v>
      </c>
      <c r="B325" s="315" t="s">
        <v>1494</v>
      </c>
      <c r="C325" s="169" t="str">
        <f t="shared" si="37"/>
        <v>A</v>
      </c>
      <c r="D325" s="146" t="str">
        <f t="shared" si="38"/>
        <v>4</v>
      </c>
      <c r="E325" s="147" t="s">
        <v>440</v>
      </c>
      <c r="F325" s="147" t="s">
        <v>323</v>
      </c>
      <c r="G325" s="147" t="s">
        <v>325</v>
      </c>
      <c r="H325" s="148" t="s">
        <v>279</v>
      </c>
      <c r="I325" s="316">
        <v>800</v>
      </c>
      <c r="J325" s="170">
        <f t="shared" si="39"/>
        <v>0</v>
      </c>
      <c r="K325" s="168" t="str">
        <f t="shared" si="40"/>
        <v xml:space="preserve"> </v>
      </c>
      <c r="L325" s="147"/>
      <c r="M325" s="147"/>
      <c r="N325" s="147"/>
      <c r="O325" s="147"/>
      <c r="P325" s="147">
        <f>I325</f>
        <v>800</v>
      </c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32">
        <f t="shared" si="36"/>
        <v>800</v>
      </c>
      <c r="AE325" s="132">
        <f t="shared" si="52"/>
        <v>800</v>
      </c>
      <c r="AF325" s="150">
        <f t="shared" si="53"/>
        <v>0</v>
      </c>
    </row>
    <row r="326" spans="1:32" x14ac:dyDescent="0.25">
      <c r="A326" s="315" t="s">
        <v>533</v>
      </c>
      <c r="B326" s="315" t="s">
        <v>717</v>
      </c>
      <c r="C326" s="169" t="str">
        <f t="shared" si="37"/>
        <v>A</v>
      </c>
      <c r="D326" s="146" t="str">
        <f t="shared" si="38"/>
        <v>4</v>
      </c>
      <c r="E326" s="147" t="s">
        <v>440</v>
      </c>
      <c r="F326" s="147" t="s">
        <v>323</v>
      </c>
      <c r="G326" s="147" t="s">
        <v>325</v>
      </c>
      <c r="H326" s="148" t="s">
        <v>279</v>
      </c>
      <c r="I326" s="316">
        <v>10768</v>
      </c>
      <c r="J326" s="170">
        <f t="shared" si="39"/>
        <v>0</v>
      </c>
      <c r="K326" s="168" t="str">
        <f t="shared" si="40"/>
        <v xml:space="preserve"> </v>
      </c>
      <c r="L326" s="147"/>
      <c r="M326" s="147"/>
      <c r="N326" s="147"/>
      <c r="O326" s="147"/>
      <c r="P326" s="147">
        <f>I326</f>
        <v>10768</v>
      </c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32">
        <f t="shared" si="36"/>
        <v>10768</v>
      </c>
      <c r="AE326" s="132">
        <f t="shared" si="52"/>
        <v>10768</v>
      </c>
      <c r="AF326" s="150">
        <f t="shared" si="53"/>
        <v>0</v>
      </c>
    </row>
    <row r="327" spans="1:32" x14ac:dyDescent="0.25">
      <c r="A327" s="315" t="s">
        <v>563</v>
      </c>
      <c r="B327" s="315" t="s">
        <v>631</v>
      </c>
      <c r="C327" s="169" t="str">
        <f t="shared" si="37"/>
        <v>A</v>
      </c>
      <c r="D327" s="146" t="str">
        <f t="shared" si="38"/>
        <v>4</v>
      </c>
      <c r="E327" s="147" t="s">
        <v>440</v>
      </c>
      <c r="F327" s="147" t="s">
        <v>323</v>
      </c>
      <c r="G327" s="147" t="s">
        <v>325</v>
      </c>
      <c r="H327" s="148" t="s">
        <v>279</v>
      </c>
      <c r="I327" s="316">
        <v>1142</v>
      </c>
      <c r="J327" s="170">
        <f t="shared" si="39"/>
        <v>0</v>
      </c>
      <c r="K327" s="168" t="str">
        <f t="shared" si="40"/>
        <v xml:space="preserve"> </v>
      </c>
      <c r="L327" s="147">
        <f>$I$327*L7</f>
        <v>372.57002617801049</v>
      </c>
      <c r="M327" s="147">
        <f t="shared" ref="M327:P327" si="55">$I$327*M7</f>
        <v>269.05759162303667</v>
      </c>
      <c r="N327" s="147">
        <f t="shared" si="55"/>
        <v>160.31348167539267</v>
      </c>
      <c r="O327" s="147">
        <f t="shared" si="55"/>
        <v>164.05039267015707</v>
      </c>
      <c r="P327" s="147">
        <f t="shared" si="55"/>
        <v>176.00850785340316</v>
      </c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32">
        <f t="shared" ref="AD327:AD390" si="56">SUM(L327:AC327)</f>
        <v>1142</v>
      </c>
      <c r="AE327" s="132">
        <f t="shared" si="52"/>
        <v>1142</v>
      </c>
      <c r="AF327" s="150">
        <f t="shared" si="53"/>
        <v>0</v>
      </c>
    </row>
    <row r="328" spans="1:32" x14ac:dyDescent="0.25">
      <c r="A328" s="315" t="s">
        <v>638</v>
      </c>
      <c r="B328" s="315" t="s">
        <v>1091</v>
      </c>
      <c r="C328" s="169" t="str">
        <f t="shared" ref="C328:C391" si="57">CONCATENATE(MID(A328,1,1))</f>
        <v>A</v>
      </c>
      <c r="D328" s="146" t="str">
        <f t="shared" ref="D328:D391" si="58">CONCATENATE(MID(A328,8,1))</f>
        <v>4</v>
      </c>
      <c r="E328" s="147" t="s">
        <v>440</v>
      </c>
      <c r="F328" s="147" t="s">
        <v>323</v>
      </c>
      <c r="G328" s="147" t="s">
        <v>325</v>
      </c>
      <c r="H328" s="148" t="s">
        <v>279</v>
      </c>
      <c r="I328" s="316">
        <v>11454</v>
      </c>
      <c r="J328" s="170">
        <f t="shared" ref="J328:J391" si="59">IF(D328="8",I328,0)</f>
        <v>0</v>
      </c>
      <c r="K328" s="168" t="str">
        <f t="shared" ref="K328:K391" si="60">IF(E328&lt;&gt;"S",IF(D328&lt;&gt;"8",I328,"")," ")</f>
        <v xml:space="preserve"> </v>
      </c>
      <c r="L328" s="147">
        <f>I328</f>
        <v>11454</v>
      </c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32">
        <f t="shared" si="56"/>
        <v>11454</v>
      </c>
      <c r="AE328" s="132">
        <f t="shared" si="52"/>
        <v>11454</v>
      </c>
      <c r="AF328" s="150">
        <f t="shared" si="53"/>
        <v>0</v>
      </c>
    </row>
    <row r="329" spans="1:32" x14ac:dyDescent="0.25">
      <c r="A329" s="315" t="s">
        <v>562</v>
      </c>
      <c r="B329" s="315" t="s">
        <v>1734</v>
      </c>
      <c r="C329" s="169" t="str">
        <f t="shared" si="57"/>
        <v>A</v>
      </c>
      <c r="D329" s="146" t="str">
        <f t="shared" si="58"/>
        <v>4</v>
      </c>
      <c r="E329" s="147" t="s">
        <v>440</v>
      </c>
      <c r="F329" s="147" t="s">
        <v>323</v>
      </c>
      <c r="G329" s="147" t="s">
        <v>325</v>
      </c>
      <c r="H329" s="148" t="s">
        <v>279</v>
      </c>
      <c r="I329" s="316">
        <v>6936</v>
      </c>
      <c r="J329" s="170">
        <f t="shared" si="59"/>
        <v>0</v>
      </c>
      <c r="K329" s="168" t="str">
        <f t="shared" si="60"/>
        <v xml:space="preserve"> </v>
      </c>
      <c r="L329" s="147"/>
      <c r="M329" s="147">
        <f>I329</f>
        <v>6936</v>
      </c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32">
        <f t="shared" si="56"/>
        <v>6936</v>
      </c>
      <c r="AE329" s="132">
        <f t="shared" si="52"/>
        <v>6936</v>
      </c>
      <c r="AF329" s="150">
        <f t="shared" si="53"/>
        <v>0</v>
      </c>
    </row>
    <row r="330" spans="1:32" x14ac:dyDescent="0.25">
      <c r="A330" s="315" t="s">
        <v>763</v>
      </c>
      <c r="B330" s="315" t="s">
        <v>714</v>
      </c>
      <c r="C330" s="169" t="str">
        <f t="shared" si="57"/>
        <v>A</v>
      </c>
      <c r="D330" s="146" t="str">
        <f t="shared" si="58"/>
        <v>4</v>
      </c>
      <c r="E330" s="147" t="s">
        <v>440</v>
      </c>
      <c r="F330" s="147" t="s">
        <v>323</v>
      </c>
      <c r="G330" s="147" t="s">
        <v>325</v>
      </c>
      <c r="H330" s="148" t="s">
        <v>279</v>
      </c>
      <c r="I330" s="316">
        <v>5200</v>
      </c>
      <c r="J330" s="170">
        <f t="shared" si="59"/>
        <v>0</v>
      </c>
      <c r="K330" s="168" t="str">
        <f t="shared" si="60"/>
        <v xml:space="preserve"> </v>
      </c>
      <c r="L330" s="147"/>
      <c r="M330" s="147"/>
      <c r="N330" s="147">
        <f>I330</f>
        <v>5200</v>
      </c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32">
        <f t="shared" si="56"/>
        <v>5200</v>
      </c>
      <c r="AE330" s="132">
        <f t="shared" si="52"/>
        <v>5200</v>
      </c>
      <c r="AF330" s="150">
        <f t="shared" si="53"/>
        <v>0</v>
      </c>
    </row>
    <row r="331" spans="1:32" x14ac:dyDescent="0.25">
      <c r="A331" s="315" t="s">
        <v>1238</v>
      </c>
      <c r="B331" s="315" t="s">
        <v>1177</v>
      </c>
      <c r="C331" s="169" t="str">
        <f t="shared" si="57"/>
        <v>A</v>
      </c>
      <c r="D331" s="146" t="str">
        <f t="shared" si="58"/>
        <v>4</v>
      </c>
      <c r="E331" s="147" t="s">
        <v>440</v>
      </c>
      <c r="F331" s="147" t="s">
        <v>323</v>
      </c>
      <c r="G331" s="147" t="s">
        <v>325</v>
      </c>
      <c r="H331" s="148" t="s">
        <v>279</v>
      </c>
      <c r="I331" s="316">
        <v>3640</v>
      </c>
      <c r="J331" s="170">
        <f t="shared" si="59"/>
        <v>0</v>
      </c>
      <c r="K331" s="168" t="str">
        <f t="shared" si="60"/>
        <v xml:space="preserve"> </v>
      </c>
      <c r="L331" s="147"/>
      <c r="M331" s="147"/>
      <c r="N331" s="147"/>
      <c r="O331" s="147">
        <f>I331</f>
        <v>3640</v>
      </c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  <c r="AA331" s="147"/>
      <c r="AB331" s="147"/>
      <c r="AC331" s="147"/>
      <c r="AD331" s="132">
        <f t="shared" si="56"/>
        <v>3640</v>
      </c>
      <c r="AE331" s="132">
        <f t="shared" si="52"/>
        <v>3640</v>
      </c>
      <c r="AF331" s="150">
        <f t="shared" si="53"/>
        <v>0</v>
      </c>
    </row>
    <row r="332" spans="1:32" x14ac:dyDescent="0.25">
      <c r="A332" s="315" t="s">
        <v>1682</v>
      </c>
      <c r="B332" s="315" t="s">
        <v>699</v>
      </c>
      <c r="C332" s="169" t="str">
        <f t="shared" si="57"/>
        <v>A</v>
      </c>
      <c r="D332" s="146" t="str">
        <f t="shared" si="58"/>
        <v>4</v>
      </c>
      <c r="E332" s="147" t="s">
        <v>440</v>
      </c>
      <c r="F332" s="147" t="s">
        <v>323</v>
      </c>
      <c r="G332" s="147" t="s">
        <v>325</v>
      </c>
      <c r="H332" s="148" t="s">
        <v>279</v>
      </c>
      <c r="I332" s="316">
        <v>4000</v>
      </c>
      <c r="J332" s="170">
        <f t="shared" si="59"/>
        <v>0</v>
      </c>
      <c r="K332" s="168" t="str">
        <f t="shared" si="60"/>
        <v xml:space="preserve"> </v>
      </c>
      <c r="L332" s="147"/>
      <c r="M332" s="147"/>
      <c r="N332" s="147"/>
      <c r="O332" s="147"/>
      <c r="P332" s="147">
        <f>I332</f>
        <v>4000</v>
      </c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32">
        <f t="shared" si="56"/>
        <v>4000</v>
      </c>
      <c r="AE332" s="132">
        <f t="shared" si="52"/>
        <v>4000</v>
      </c>
      <c r="AF332" s="150">
        <f t="shared" si="53"/>
        <v>0</v>
      </c>
    </row>
    <row r="333" spans="1:32" x14ac:dyDescent="0.25">
      <c r="A333" s="315" t="s">
        <v>880</v>
      </c>
      <c r="B333" s="315" t="s">
        <v>516</v>
      </c>
      <c r="C333" s="169" t="str">
        <f t="shared" si="57"/>
        <v>A</v>
      </c>
      <c r="D333" s="146" t="str">
        <f t="shared" si="58"/>
        <v>4</v>
      </c>
      <c r="E333" s="147" t="s">
        <v>440</v>
      </c>
      <c r="F333" s="147" t="s">
        <v>323</v>
      </c>
      <c r="G333" s="147" t="s">
        <v>325</v>
      </c>
      <c r="H333" s="148" t="s">
        <v>279</v>
      </c>
      <c r="I333" s="316">
        <v>892</v>
      </c>
      <c r="J333" s="170">
        <f t="shared" si="59"/>
        <v>0</v>
      </c>
      <c r="K333" s="168" t="str">
        <f t="shared" si="60"/>
        <v xml:space="preserve"> </v>
      </c>
      <c r="L333" s="147">
        <f>I333</f>
        <v>892</v>
      </c>
      <c r="M333" s="147"/>
      <c r="N333" s="147"/>
      <c r="O333" s="147"/>
      <c r="P333" s="147"/>
      <c r="Q333" s="147"/>
      <c r="R333" s="147"/>
      <c r="S333" s="147"/>
      <c r="T333" s="147"/>
      <c r="U333" s="147"/>
      <c r="V333" s="147"/>
      <c r="W333" s="147"/>
      <c r="X333" s="147"/>
      <c r="Y333" s="147"/>
      <c r="Z333" s="147"/>
      <c r="AA333" s="147"/>
      <c r="AB333" s="147"/>
      <c r="AC333" s="147"/>
      <c r="AD333" s="132">
        <f t="shared" si="56"/>
        <v>892</v>
      </c>
      <c r="AE333" s="132">
        <f t="shared" si="52"/>
        <v>892</v>
      </c>
      <c r="AF333" s="150">
        <f t="shared" si="53"/>
        <v>0</v>
      </c>
    </row>
    <row r="334" spans="1:32" x14ac:dyDescent="0.25">
      <c r="A334" s="315" t="s">
        <v>1665</v>
      </c>
      <c r="B334" s="315" t="s">
        <v>1580</v>
      </c>
      <c r="C334" s="169" t="str">
        <f t="shared" si="57"/>
        <v>A</v>
      </c>
      <c r="D334" s="146" t="str">
        <f t="shared" si="58"/>
        <v>4</v>
      </c>
      <c r="E334" s="147" t="s">
        <v>440</v>
      </c>
      <c r="F334" s="147" t="s">
        <v>323</v>
      </c>
      <c r="G334" s="147" t="s">
        <v>325</v>
      </c>
      <c r="H334" s="148" t="s">
        <v>279</v>
      </c>
      <c r="I334" s="316">
        <v>240</v>
      </c>
      <c r="J334" s="170">
        <f t="shared" si="59"/>
        <v>0</v>
      </c>
      <c r="K334" s="168" t="str">
        <f t="shared" si="60"/>
        <v xml:space="preserve"> </v>
      </c>
      <c r="L334" s="147">
        <f>I334</f>
        <v>240</v>
      </c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147"/>
      <c r="Z334" s="147"/>
      <c r="AA334" s="147"/>
      <c r="AB334" s="147"/>
      <c r="AC334" s="147"/>
      <c r="AD334" s="132">
        <f t="shared" si="56"/>
        <v>240</v>
      </c>
      <c r="AE334" s="132">
        <f t="shared" si="52"/>
        <v>240</v>
      </c>
      <c r="AF334" s="150">
        <f t="shared" si="53"/>
        <v>0</v>
      </c>
    </row>
    <row r="335" spans="1:32" x14ac:dyDescent="0.25">
      <c r="A335" s="315" t="s">
        <v>669</v>
      </c>
      <c r="B335" s="315" t="s">
        <v>1429</v>
      </c>
      <c r="C335" s="169" t="str">
        <f t="shared" si="57"/>
        <v>A</v>
      </c>
      <c r="D335" s="146" t="str">
        <f t="shared" si="58"/>
        <v>4</v>
      </c>
      <c r="E335" s="147" t="s">
        <v>440</v>
      </c>
      <c r="F335" s="147" t="s">
        <v>323</v>
      </c>
      <c r="G335" s="147" t="s">
        <v>325</v>
      </c>
      <c r="H335" s="148" t="s">
        <v>279</v>
      </c>
      <c r="I335" s="316">
        <v>400</v>
      </c>
      <c r="J335" s="170">
        <f t="shared" si="59"/>
        <v>0</v>
      </c>
      <c r="K335" s="168" t="str">
        <f t="shared" si="60"/>
        <v xml:space="preserve"> </v>
      </c>
      <c r="L335" s="147">
        <f>I335</f>
        <v>400</v>
      </c>
      <c r="M335" s="147"/>
      <c r="N335" s="147"/>
      <c r="O335" s="147"/>
      <c r="P335" s="147"/>
      <c r="Q335" s="147"/>
      <c r="R335" s="147"/>
      <c r="S335" s="147"/>
      <c r="T335" s="147"/>
      <c r="U335" s="147"/>
      <c r="V335" s="147"/>
      <c r="W335" s="147"/>
      <c r="X335" s="147"/>
      <c r="Y335" s="147"/>
      <c r="Z335" s="147"/>
      <c r="AA335" s="147"/>
      <c r="AB335" s="147"/>
      <c r="AC335" s="147"/>
      <c r="AD335" s="132">
        <f t="shared" si="56"/>
        <v>400</v>
      </c>
      <c r="AE335" s="132">
        <f t="shared" si="52"/>
        <v>400</v>
      </c>
      <c r="AF335" s="150">
        <f t="shared" si="53"/>
        <v>0</v>
      </c>
    </row>
    <row r="336" spans="1:32" x14ac:dyDescent="0.25">
      <c r="A336" s="315" t="s">
        <v>1393</v>
      </c>
      <c r="B336" s="315" t="s">
        <v>1003</v>
      </c>
      <c r="C336" s="169" t="str">
        <f t="shared" si="57"/>
        <v>A</v>
      </c>
      <c r="D336" s="146" t="str">
        <f t="shared" si="58"/>
        <v>4</v>
      </c>
      <c r="E336" s="147" t="s">
        <v>440</v>
      </c>
      <c r="F336" s="147" t="s">
        <v>323</v>
      </c>
      <c r="G336" s="147" t="s">
        <v>325</v>
      </c>
      <c r="H336" s="148" t="s">
        <v>279</v>
      </c>
      <c r="I336" s="316">
        <v>400</v>
      </c>
      <c r="J336" s="170">
        <f t="shared" si="59"/>
        <v>0</v>
      </c>
      <c r="K336" s="168" t="str">
        <f t="shared" si="60"/>
        <v xml:space="preserve"> </v>
      </c>
      <c r="L336" s="147">
        <f>I336</f>
        <v>400</v>
      </c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32">
        <f t="shared" si="56"/>
        <v>400</v>
      </c>
      <c r="AE336" s="132">
        <f t="shared" si="52"/>
        <v>400</v>
      </c>
      <c r="AF336" s="150">
        <f t="shared" si="53"/>
        <v>0</v>
      </c>
    </row>
    <row r="337" spans="1:32" x14ac:dyDescent="0.25">
      <c r="A337" s="315" t="s">
        <v>1656</v>
      </c>
      <c r="B337" s="315" t="s">
        <v>627</v>
      </c>
      <c r="C337" s="169" t="str">
        <f t="shared" si="57"/>
        <v>A</v>
      </c>
      <c r="D337" s="146" t="str">
        <f t="shared" si="58"/>
        <v>4</v>
      </c>
      <c r="E337" s="147" t="s">
        <v>440</v>
      </c>
      <c r="F337" s="147" t="s">
        <v>323</v>
      </c>
      <c r="G337" s="147" t="s">
        <v>325</v>
      </c>
      <c r="H337" s="148" t="s">
        <v>279</v>
      </c>
      <c r="I337" s="316">
        <v>320</v>
      </c>
      <c r="J337" s="170">
        <f t="shared" si="59"/>
        <v>0</v>
      </c>
      <c r="K337" s="168" t="str">
        <f t="shared" si="60"/>
        <v xml:space="preserve"> </v>
      </c>
      <c r="L337" s="147">
        <f>I337</f>
        <v>320</v>
      </c>
      <c r="M337" s="147"/>
      <c r="N337" s="147"/>
      <c r="O337" s="147"/>
      <c r="P337" s="147"/>
      <c r="Q337" s="147"/>
      <c r="R337" s="147"/>
      <c r="S337" s="147"/>
      <c r="T337" s="147"/>
      <c r="U337" s="147"/>
      <c r="V337" s="147"/>
      <c r="W337" s="147"/>
      <c r="X337" s="147"/>
      <c r="Y337" s="147"/>
      <c r="Z337" s="147"/>
      <c r="AA337" s="147"/>
      <c r="AB337" s="147"/>
      <c r="AC337" s="147"/>
      <c r="AD337" s="132">
        <f t="shared" si="56"/>
        <v>320</v>
      </c>
      <c r="AE337" s="132">
        <f t="shared" si="52"/>
        <v>320</v>
      </c>
      <c r="AF337" s="150">
        <f t="shared" si="53"/>
        <v>0</v>
      </c>
    </row>
    <row r="338" spans="1:32" x14ac:dyDescent="0.25">
      <c r="A338" s="315" t="s">
        <v>700</v>
      </c>
      <c r="B338" s="315" t="s">
        <v>1598</v>
      </c>
      <c r="C338" s="169" t="str">
        <f t="shared" si="57"/>
        <v>A</v>
      </c>
      <c r="D338" s="146" t="str">
        <f t="shared" si="58"/>
        <v>4</v>
      </c>
      <c r="E338" s="147" t="s">
        <v>440</v>
      </c>
      <c r="F338" s="147" t="s">
        <v>323</v>
      </c>
      <c r="G338" s="147" t="s">
        <v>325</v>
      </c>
      <c r="H338" s="148" t="s">
        <v>279</v>
      </c>
      <c r="I338" s="316">
        <v>60</v>
      </c>
      <c r="J338" s="170">
        <f t="shared" si="59"/>
        <v>0</v>
      </c>
      <c r="K338" s="168" t="str">
        <f t="shared" si="60"/>
        <v xml:space="preserve"> </v>
      </c>
      <c r="L338" s="147"/>
      <c r="M338" s="147">
        <f>I338</f>
        <v>60</v>
      </c>
      <c r="N338" s="147"/>
      <c r="O338" s="147"/>
      <c r="P338" s="147"/>
      <c r="Q338" s="147"/>
      <c r="R338" s="147"/>
      <c r="S338" s="147"/>
      <c r="T338" s="147"/>
      <c r="U338" s="147"/>
      <c r="V338" s="147"/>
      <c r="W338" s="147"/>
      <c r="X338" s="147"/>
      <c r="Y338" s="147"/>
      <c r="Z338" s="147"/>
      <c r="AA338" s="147"/>
      <c r="AB338" s="147"/>
      <c r="AC338" s="147"/>
      <c r="AD338" s="132">
        <f t="shared" si="56"/>
        <v>60</v>
      </c>
      <c r="AE338" s="132">
        <f t="shared" si="52"/>
        <v>60</v>
      </c>
      <c r="AF338" s="150">
        <f t="shared" si="53"/>
        <v>0</v>
      </c>
    </row>
    <row r="339" spans="1:32" x14ac:dyDescent="0.25">
      <c r="A339" s="315" t="s">
        <v>1313</v>
      </c>
      <c r="B339" s="315" t="s">
        <v>1006</v>
      </c>
      <c r="C339" s="169" t="str">
        <f t="shared" si="57"/>
        <v>A</v>
      </c>
      <c r="D339" s="146" t="str">
        <f t="shared" si="58"/>
        <v>4</v>
      </c>
      <c r="E339" s="147" t="s">
        <v>440</v>
      </c>
      <c r="F339" s="147" t="s">
        <v>323</v>
      </c>
      <c r="G339" s="147" t="s">
        <v>325</v>
      </c>
      <c r="H339" s="148" t="s">
        <v>279</v>
      </c>
      <c r="I339" s="316">
        <v>280</v>
      </c>
      <c r="J339" s="170">
        <f t="shared" si="59"/>
        <v>0</v>
      </c>
      <c r="K339" s="168" t="str">
        <f t="shared" si="60"/>
        <v xml:space="preserve"> </v>
      </c>
      <c r="L339" s="147"/>
      <c r="M339" s="147">
        <f>I339</f>
        <v>280</v>
      </c>
      <c r="N339" s="147"/>
      <c r="O339" s="147"/>
      <c r="P339" s="147"/>
      <c r="Q339" s="147"/>
      <c r="R339" s="147"/>
      <c r="S339" s="147"/>
      <c r="T339" s="147"/>
      <c r="U339" s="147"/>
      <c r="V339" s="147"/>
      <c r="W339" s="147"/>
      <c r="X339" s="147"/>
      <c r="Y339" s="147"/>
      <c r="Z339" s="147"/>
      <c r="AA339" s="147"/>
      <c r="AB339" s="147"/>
      <c r="AC339" s="147"/>
      <c r="AD339" s="132">
        <f t="shared" si="56"/>
        <v>280</v>
      </c>
      <c r="AE339" s="132">
        <f t="shared" si="52"/>
        <v>280</v>
      </c>
      <c r="AF339" s="150">
        <f t="shared" si="53"/>
        <v>0</v>
      </c>
    </row>
    <row r="340" spans="1:32" x14ac:dyDescent="0.25">
      <c r="A340" s="315" t="s">
        <v>552</v>
      </c>
      <c r="B340" s="315" t="s">
        <v>1367</v>
      </c>
      <c r="C340" s="169" t="str">
        <f t="shared" si="57"/>
        <v>A</v>
      </c>
      <c r="D340" s="146" t="str">
        <f t="shared" si="58"/>
        <v>4</v>
      </c>
      <c r="E340" s="147" t="s">
        <v>440</v>
      </c>
      <c r="F340" s="147" t="s">
        <v>323</v>
      </c>
      <c r="G340" s="147" t="s">
        <v>325</v>
      </c>
      <c r="H340" s="148" t="s">
        <v>279</v>
      </c>
      <c r="I340" s="316">
        <v>440</v>
      </c>
      <c r="J340" s="170">
        <f t="shared" si="59"/>
        <v>0</v>
      </c>
      <c r="K340" s="168" t="str">
        <f t="shared" si="60"/>
        <v xml:space="preserve"> </v>
      </c>
      <c r="L340" s="147"/>
      <c r="M340" s="147">
        <f>I340</f>
        <v>440</v>
      </c>
      <c r="N340" s="147"/>
      <c r="O340" s="147"/>
      <c r="P340" s="147"/>
      <c r="Q340" s="147"/>
      <c r="R340" s="147"/>
      <c r="S340" s="147"/>
      <c r="T340" s="147"/>
      <c r="U340" s="147"/>
      <c r="V340" s="147"/>
      <c r="W340" s="147"/>
      <c r="X340" s="147"/>
      <c r="Y340" s="147"/>
      <c r="Z340" s="147"/>
      <c r="AA340" s="147"/>
      <c r="AB340" s="147"/>
      <c r="AC340" s="147"/>
      <c r="AD340" s="132">
        <f t="shared" si="56"/>
        <v>440</v>
      </c>
      <c r="AE340" s="132">
        <f t="shared" si="52"/>
        <v>440</v>
      </c>
      <c r="AF340" s="150">
        <f t="shared" si="53"/>
        <v>0</v>
      </c>
    </row>
    <row r="341" spans="1:32" x14ac:dyDescent="0.25">
      <c r="A341" s="315" t="s">
        <v>625</v>
      </c>
      <c r="B341" s="315" t="s">
        <v>1473</v>
      </c>
      <c r="C341" s="169" t="str">
        <f t="shared" si="57"/>
        <v>A</v>
      </c>
      <c r="D341" s="146" t="str">
        <f t="shared" si="58"/>
        <v>4</v>
      </c>
      <c r="E341" s="147" t="s">
        <v>440</v>
      </c>
      <c r="F341" s="147" t="s">
        <v>323</v>
      </c>
      <c r="G341" s="147" t="s">
        <v>325</v>
      </c>
      <c r="H341" s="148" t="s">
        <v>279</v>
      </c>
      <c r="I341" s="316">
        <v>160</v>
      </c>
      <c r="J341" s="170">
        <f t="shared" si="59"/>
        <v>0</v>
      </c>
      <c r="K341" s="168" t="str">
        <f t="shared" si="60"/>
        <v xml:space="preserve"> </v>
      </c>
      <c r="L341" s="147"/>
      <c r="M341" s="147">
        <f>I341</f>
        <v>160</v>
      </c>
      <c r="N341" s="147"/>
      <c r="O341" s="147"/>
      <c r="P341" s="147"/>
      <c r="Q341" s="147"/>
      <c r="R341" s="147"/>
      <c r="S341" s="147"/>
      <c r="T341" s="147"/>
      <c r="U341" s="147"/>
      <c r="V341" s="147"/>
      <c r="W341" s="147"/>
      <c r="X341" s="147"/>
      <c r="Y341" s="147"/>
      <c r="Z341" s="147"/>
      <c r="AA341" s="147"/>
      <c r="AB341" s="147"/>
      <c r="AC341" s="147"/>
      <c r="AD341" s="132">
        <f t="shared" si="56"/>
        <v>160</v>
      </c>
      <c r="AE341" s="132">
        <f t="shared" si="52"/>
        <v>160</v>
      </c>
      <c r="AF341" s="150">
        <f t="shared" si="53"/>
        <v>0</v>
      </c>
    </row>
    <row r="342" spans="1:32" x14ac:dyDescent="0.25">
      <c r="A342" s="315" t="s">
        <v>1495</v>
      </c>
      <c r="B342" s="315" t="s">
        <v>1368</v>
      </c>
      <c r="C342" s="169" t="str">
        <f t="shared" si="57"/>
        <v>A</v>
      </c>
      <c r="D342" s="146" t="str">
        <f t="shared" si="58"/>
        <v>4</v>
      </c>
      <c r="E342" s="147" t="s">
        <v>440</v>
      </c>
      <c r="F342" s="147" t="s">
        <v>323</v>
      </c>
      <c r="G342" s="147" t="s">
        <v>325</v>
      </c>
      <c r="H342" s="148" t="s">
        <v>279</v>
      </c>
      <c r="I342" s="316">
        <v>800</v>
      </c>
      <c r="J342" s="170">
        <f t="shared" si="59"/>
        <v>0</v>
      </c>
      <c r="K342" s="168" t="str">
        <f t="shared" si="60"/>
        <v xml:space="preserve"> </v>
      </c>
      <c r="L342" s="147"/>
      <c r="M342" s="147"/>
      <c r="N342" s="147">
        <f>I342</f>
        <v>800</v>
      </c>
      <c r="O342" s="147"/>
      <c r="P342" s="147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  <c r="AA342" s="147"/>
      <c r="AB342" s="147"/>
      <c r="AC342" s="147"/>
      <c r="AD342" s="132">
        <f t="shared" si="56"/>
        <v>800</v>
      </c>
      <c r="AE342" s="132">
        <f t="shared" si="52"/>
        <v>800</v>
      </c>
      <c r="AF342" s="150">
        <f t="shared" si="53"/>
        <v>0</v>
      </c>
    </row>
    <row r="343" spans="1:32" x14ac:dyDescent="0.25">
      <c r="A343" s="315" t="s">
        <v>842</v>
      </c>
      <c r="B343" s="315" t="s">
        <v>687</v>
      </c>
      <c r="C343" s="169" t="str">
        <f t="shared" si="57"/>
        <v>A</v>
      </c>
      <c r="D343" s="146" t="str">
        <f t="shared" si="58"/>
        <v>4</v>
      </c>
      <c r="E343" s="147" t="s">
        <v>440</v>
      </c>
      <c r="F343" s="147" t="s">
        <v>323</v>
      </c>
      <c r="G343" s="147" t="s">
        <v>325</v>
      </c>
      <c r="H343" s="148" t="s">
        <v>279</v>
      </c>
      <c r="I343" s="316">
        <v>640</v>
      </c>
      <c r="J343" s="170">
        <f t="shared" si="59"/>
        <v>0</v>
      </c>
      <c r="K343" s="168" t="str">
        <f t="shared" si="60"/>
        <v xml:space="preserve"> </v>
      </c>
      <c r="L343" s="147">
        <f>$I$343*L7</f>
        <v>208.79581151832463</v>
      </c>
      <c r="M343" s="147">
        <f t="shared" ref="M343:P343" si="61">$I$343*M7</f>
        <v>150.78534031413614</v>
      </c>
      <c r="N343" s="147">
        <f t="shared" si="61"/>
        <v>89.842931937172779</v>
      </c>
      <c r="O343" s="147">
        <f t="shared" si="61"/>
        <v>91.937172774869111</v>
      </c>
      <c r="P343" s="147">
        <f t="shared" si="61"/>
        <v>98.638743455497391</v>
      </c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32">
        <f t="shared" si="56"/>
        <v>640</v>
      </c>
      <c r="AE343" s="132">
        <f t="shared" si="52"/>
        <v>640</v>
      </c>
      <c r="AF343" s="150">
        <f t="shared" si="53"/>
        <v>0</v>
      </c>
    </row>
    <row r="344" spans="1:32" x14ac:dyDescent="0.25">
      <c r="A344" s="315" t="s">
        <v>1518</v>
      </c>
      <c r="B344" s="315" t="s">
        <v>754</v>
      </c>
      <c r="C344" s="169" t="str">
        <f t="shared" si="57"/>
        <v>A</v>
      </c>
      <c r="D344" s="146" t="str">
        <f t="shared" si="58"/>
        <v>4</v>
      </c>
      <c r="E344" s="147" t="s">
        <v>10</v>
      </c>
      <c r="F344" s="147"/>
      <c r="G344" s="147"/>
      <c r="H344" s="148" t="s">
        <v>279</v>
      </c>
      <c r="I344" s="316">
        <v>25000</v>
      </c>
      <c r="J344" s="170">
        <f t="shared" si="59"/>
        <v>0</v>
      </c>
      <c r="K344" s="168">
        <f t="shared" si="60"/>
        <v>25000</v>
      </c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  <c r="Z344" s="147"/>
      <c r="AA344" s="147"/>
      <c r="AB344" s="147"/>
      <c r="AC344" s="147"/>
      <c r="AD344" s="132">
        <f t="shared" si="56"/>
        <v>0</v>
      </c>
      <c r="AE344" s="132">
        <f t="shared" si="52"/>
        <v>25000</v>
      </c>
      <c r="AF344" s="150">
        <f t="shared" si="53"/>
        <v>0</v>
      </c>
    </row>
    <row r="345" spans="1:32" x14ac:dyDescent="0.25">
      <c r="A345" s="315" t="s">
        <v>1622</v>
      </c>
      <c r="B345" s="315" t="s">
        <v>955</v>
      </c>
      <c r="C345" s="169" t="str">
        <f t="shared" si="57"/>
        <v>A</v>
      </c>
      <c r="D345" s="146" t="str">
        <f t="shared" si="58"/>
        <v>4</v>
      </c>
      <c r="E345" s="147" t="s">
        <v>246</v>
      </c>
      <c r="F345" s="147"/>
      <c r="G345" s="147"/>
      <c r="H345" s="148" t="s">
        <v>279</v>
      </c>
      <c r="I345" s="316">
        <v>10000</v>
      </c>
      <c r="J345" s="170">
        <f t="shared" si="59"/>
        <v>0</v>
      </c>
      <c r="K345" s="168">
        <f t="shared" si="60"/>
        <v>10000</v>
      </c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  <c r="W345" s="147"/>
      <c r="X345" s="147"/>
      <c r="Y345" s="147"/>
      <c r="Z345" s="147"/>
      <c r="AA345" s="147"/>
      <c r="AB345" s="147"/>
      <c r="AC345" s="147"/>
      <c r="AD345" s="132">
        <f t="shared" si="56"/>
        <v>0</v>
      </c>
      <c r="AE345" s="132">
        <f t="shared" si="52"/>
        <v>10000</v>
      </c>
      <c r="AF345" s="150">
        <f t="shared" si="53"/>
        <v>0</v>
      </c>
    </row>
    <row r="346" spans="1:32" x14ac:dyDescent="0.25">
      <c r="A346" s="315" t="s">
        <v>921</v>
      </c>
      <c r="B346" s="315" t="s">
        <v>778</v>
      </c>
      <c r="C346" s="169" t="str">
        <f t="shared" si="57"/>
        <v>A</v>
      </c>
      <c r="D346" s="146" t="str">
        <f t="shared" si="58"/>
        <v>4</v>
      </c>
      <c r="E346" s="147" t="s">
        <v>440</v>
      </c>
      <c r="F346" s="147" t="s">
        <v>323</v>
      </c>
      <c r="G346" s="147" t="s">
        <v>325</v>
      </c>
      <c r="H346" s="148" t="s">
        <v>279</v>
      </c>
      <c r="I346" s="316">
        <v>2500</v>
      </c>
      <c r="J346" s="170">
        <f t="shared" si="59"/>
        <v>0</v>
      </c>
      <c r="K346" s="168" t="str">
        <f t="shared" si="60"/>
        <v xml:space="preserve"> </v>
      </c>
      <c r="L346" s="147">
        <f t="shared" ref="L346:L356" si="62">I346</f>
        <v>2500</v>
      </c>
      <c r="M346" s="147"/>
      <c r="N346" s="147"/>
      <c r="O346" s="147"/>
      <c r="P346" s="147"/>
      <c r="Q346" s="147"/>
      <c r="R346" s="147"/>
      <c r="S346" s="147"/>
      <c r="T346" s="147"/>
      <c r="U346" s="147"/>
      <c r="V346" s="147"/>
      <c r="W346" s="147"/>
      <c r="X346" s="147"/>
      <c r="Y346" s="147"/>
      <c r="Z346" s="147"/>
      <c r="AA346" s="147"/>
      <c r="AB346" s="147"/>
      <c r="AC346" s="147"/>
      <c r="AD346" s="132">
        <f t="shared" si="56"/>
        <v>2500</v>
      </c>
      <c r="AE346" s="132">
        <f t="shared" si="52"/>
        <v>2500</v>
      </c>
      <c r="AF346" s="150">
        <f t="shared" si="53"/>
        <v>0</v>
      </c>
    </row>
    <row r="347" spans="1:32" x14ac:dyDescent="0.25">
      <c r="A347" s="315" t="s">
        <v>947</v>
      </c>
      <c r="B347" s="315" t="s">
        <v>465</v>
      </c>
      <c r="C347" s="169" t="str">
        <f t="shared" si="57"/>
        <v>A</v>
      </c>
      <c r="D347" s="146" t="str">
        <f t="shared" si="58"/>
        <v>4</v>
      </c>
      <c r="E347" s="147" t="s">
        <v>440</v>
      </c>
      <c r="F347" s="147" t="s">
        <v>323</v>
      </c>
      <c r="G347" s="147" t="s">
        <v>325</v>
      </c>
      <c r="H347" s="148" t="s">
        <v>279</v>
      </c>
      <c r="I347" s="316">
        <v>3060</v>
      </c>
      <c r="J347" s="170">
        <f t="shared" si="59"/>
        <v>0</v>
      </c>
      <c r="K347" s="168" t="str">
        <f t="shared" si="60"/>
        <v xml:space="preserve"> </v>
      </c>
      <c r="L347" s="147">
        <f t="shared" si="62"/>
        <v>3060</v>
      </c>
      <c r="M347" s="147"/>
      <c r="N347" s="147"/>
      <c r="O347" s="147"/>
      <c r="P347" s="147"/>
      <c r="Q347" s="147"/>
      <c r="R347" s="147"/>
      <c r="S347" s="147"/>
      <c r="T347" s="147"/>
      <c r="U347" s="147"/>
      <c r="V347" s="147"/>
      <c r="W347" s="147"/>
      <c r="X347" s="147"/>
      <c r="Y347" s="147"/>
      <c r="Z347" s="147"/>
      <c r="AA347" s="147"/>
      <c r="AB347" s="147"/>
      <c r="AC347" s="147"/>
      <c r="AD347" s="132">
        <f t="shared" si="56"/>
        <v>3060</v>
      </c>
      <c r="AE347" s="132">
        <f t="shared" si="52"/>
        <v>3060</v>
      </c>
      <c r="AF347" s="150">
        <f t="shared" si="53"/>
        <v>0</v>
      </c>
    </row>
    <row r="348" spans="1:32" x14ac:dyDescent="0.25">
      <c r="A348" s="315" t="s">
        <v>612</v>
      </c>
      <c r="B348" s="315" t="s">
        <v>858</v>
      </c>
      <c r="C348" s="169" t="str">
        <f t="shared" si="57"/>
        <v>A</v>
      </c>
      <c r="D348" s="146" t="str">
        <f t="shared" si="58"/>
        <v>4</v>
      </c>
      <c r="E348" s="147" t="s">
        <v>440</v>
      </c>
      <c r="F348" s="147" t="s">
        <v>323</v>
      </c>
      <c r="G348" s="147" t="s">
        <v>325</v>
      </c>
      <c r="H348" s="148" t="s">
        <v>279</v>
      </c>
      <c r="I348" s="316">
        <v>1440</v>
      </c>
      <c r="J348" s="170">
        <f t="shared" si="59"/>
        <v>0</v>
      </c>
      <c r="K348" s="168" t="str">
        <f t="shared" si="60"/>
        <v xml:space="preserve"> </v>
      </c>
      <c r="L348" s="147">
        <f t="shared" si="62"/>
        <v>1440</v>
      </c>
      <c r="M348" s="147"/>
      <c r="N348" s="147"/>
      <c r="O348" s="147"/>
      <c r="P348" s="147"/>
      <c r="Q348" s="147"/>
      <c r="R348" s="147"/>
      <c r="S348" s="147"/>
      <c r="T348" s="147"/>
      <c r="U348" s="147"/>
      <c r="V348" s="147"/>
      <c r="W348" s="147"/>
      <c r="X348" s="147"/>
      <c r="Y348" s="147"/>
      <c r="Z348" s="147"/>
      <c r="AA348" s="147"/>
      <c r="AB348" s="147"/>
      <c r="AC348" s="147"/>
      <c r="AD348" s="132">
        <f t="shared" si="56"/>
        <v>1440</v>
      </c>
      <c r="AE348" s="132">
        <f t="shared" si="52"/>
        <v>1440</v>
      </c>
      <c r="AF348" s="150">
        <f t="shared" si="53"/>
        <v>0</v>
      </c>
    </row>
    <row r="349" spans="1:32" x14ac:dyDescent="0.25">
      <c r="A349" s="315" t="s">
        <v>903</v>
      </c>
      <c r="B349" s="315" t="s">
        <v>618</v>
      </c>
      <c r="C349" s="169" t="str">
        <f t="shared" si="57"/>
        <v>A</v>
      </c>
      <c r="D349" s="146" t="str">
        <f t="shared" si="58"/>
        <v>4</v>
      </c>
      <c r="E349" s="147" t="s">
        <v>440</v>
      </c>
      <c r="F349" s="147" t="s">
        <v>323</v>
      </c>
      <c r="G349" s="147" t="s">
        <v>325</v>
      </c>
      <c r="H349" s="148" t="s">
        <v>279</v>
      </c>
      <c r="I349" s="316">
        <v>400</v>
      </c>
      <c r="J349" s="170">
        <f t="shared" si="59"/>
        <v>0</v>
      </c>
      <c r="K349" s="168" t="str">
        <f t="shared" si="60"/>
        <v xml:space="preserve"> </v>
      </c>
      <c r="L349" s="147">
        <f t="shared" si="62"/>
        <v>400</v>
      </c>
      <c r="M349" s="147"/>
      <c r="N349" s="147"/>
      <c r="O349" s="147"/>
      <c r="P349" s="147"/>
      <c r="Q349" s="147"/>
      <c r="R349" s="147"/>
      <c r="S349" s="147"/>
      <c r="T349" s="147"/>
      <c r="U349" s="147"/>
      <c r="V349" s="147"/>
      <c r="W349" s="147"/>
      <c r="X349" s="147"/>
      <c r="Y349" s="147"/>
      <c r="Z349" s="147"/>
      <c r="AA349" s="147"/>
      <c r="AB349" s="147"/>
      <c r="AC349" s="147"/>
      <c r="AD349" s="132">
        <f t="shared" si="56"/>
        <v>400</v>
      </c>
      <c r="AE349" s="132">
        <f t="shared" si="52"/>
        <v>400</v>
      </c>
      <c r="AF349" s="150">
        <f t="shared" si="53"/>
        <v>0</v>
      </c>
    </row>
    <row r="350" spans="1:32" x14ac:dyDescent="0.25">
      <c r="A350" s="315" t="s">
        <v>983</v>
      </c>
      <c r="B350" s="315" t="s">
        <v>1726</v>
      </c>
      <c r="C350" s="169" t="str">
        <f t="shared" si="57"/>
        <v>A</v>
      </c>
      <c r="D350" s="146" t="str">
        <f t="shared" si="58"/>
        <v>4</v>
      </c>
      <c r="E350" s="147" t="s">
        <v>440</v>
      </c>
      <c r="F350" s="147" t="s">
        <v>323</v>
      </c>
      <c r="G350" s="147" t="s">
        <v>325</v>
      </c>
      <c r="H350" s="148" t="s">
        <v>279</v>
      </c>
      <c r="I350" s="316">
        <v>600</v>
      </c>
      <c r="J350" s="170">
        <f t="shared" si="59"/>
        <v>0</v>
      </c>
      <c r="K350" s="168" t="str">
        <f t="shared" si="60"/>
        <v xml:space="preserve"> </v>
      </c>
      <c r="L350" s="147">
        <f t="shared" si="62"/>
        <v>600</v>
      </c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  <c r="AA350" s="147"/>
      <c r="AB350" s="147"/>
      <c r="AC350" s="147"/>
      <c r="AD350" s="132">
        <f t="shared" si="56"/>
        <v>600</v>
      </c>
      <c r="AE350" s="132">
        <f t="shared" si="52"/>
        <v>600</v>
      </c>
      <c r="AF350" s="150">
        <f t="shared" si="53"/>
        <v>0</v>
      </c>
    </row>
    <row r="351" spans="1:32" x14ac:dyDescent="0.25">
      <c r="A351" s="315" t="s">
        <v>490</v>
      </c>
      <c r="B351" s="315" t="s">
        <v>1496</v>
      </c>
      <c r="C351" s="169" t="str">
        <f t="shared" si="57"/>
        <v>A</v>
      </c>
      <c r="D351" s="146" t="str">
        <f t="shared" si="58"/>
        <v>4</v>
      </c>
      <c r="E351" s="147" t="s">
        <v>440</v>
      </c>
      <c r="F351" s="147" t="s">
        <v>323</v>
      </c>
      <c r="G351" s="147" t="s">
        <v>325</v>
      </c>
      <c r="H351" s="148" t="s">
        <v>279</v>
      </c>
      <c r="I351" s="316">
        <v>17380</v>
      </c>
      <c r="J351" s="170">
        <f t="shared" si="59"/>
        <v>0</v>
      </c>
      <c r="K351" s="168" t="str">
        <f t="shared" si="60"/>
        <v xml:space="preserve"> </v>
      </c>
      <c r="L351" s="147">
        <f t="shared" si="62"/>
        <v>17380</v>
      </c>
      <c r="M351" s="147"/>
      <c r="N351" s="147"/>
      <c r="O351" s="147"/>
      <c r="P351" s="147"/>
      <c r="Q351" s="147"/>
      <c r="R351" s="147"/>
      <c r="S351" s="147"/>
      <c r="T351" s="147"/>
      <c r="U351" s="147"/>
      <c r="V351" s="147"/>
      <c r="W351" s="147"/>
      <c r="X351" s="147"/>
      <c r="Y351" s="147"/>
      <c r="Z351" s="147"/>
      <c r="AA351" s="147"/>
      <c r="AB351" s="147"/>
      <c r="AC351" s="147"/>
      <c r="AD351" s="132">
        <f t="shared" si="56"/>
        <v>17380</v>
      </c>
      <c r="AE351" s="132">
        <f t="shared" si="52"/>
        <v>17380</v>
      </c>
      <c r="AF351" s="150">
        <f t="shared" si="53"/>
        <v>0</v>
      </c>
    </row>
    <row r="352" spans="1:32" x14ac:dyDescent="0.25">
      <c r="A352" s="315" t="s">
        <v>1041</v>
      </c>
      <c r="B352" s="315" t="s">
        <v>1201</v>
      </c>
      <c r="C352" s="169" t="str">
        <f t="shared" si="57"/>
        <v>A</v>
      </c>
      <c r="D352" s="146" t="str">
        <f t="shared" si="58"/>
        <v>4</v>
      </c>
      <c r="E352" s="147" t="s">
        <v>440</v>
      </c>
      <c r="F352" s="147" t="s">
        <v>323</v>
      </c>
      <c r="G352" s="147" t="s">
        <v>325</v>
      </c>
      <c r="H352" s="148" t="s">
        <v>279</v>
      </c>
      <c r="I352" s="316">
        <v>6240</v>
      </c>
      <c r="J352" s="170">
        <f t="shared" si="59"/>
        <v>0</v>
      </c>
      <c r="K352" s="168" t="str">
        <f t="shared" si="60"/>
        <v xml:space="preserve"> </v>
      </c>
      <c r="L352" s="147">
        <f t="shared" si="62"/>
        <v>6240</v>
      </c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32">
        <f t="shared" si="56"/>
        <v>6240</v>
      </c>
      <c r="AE352" s="132">
        <f>SUM(J352,K352,AD352)</f>
        <v>6240</v>
      </c>
      <c r="AF352" s="150">
        <f>+I352-AE352</f>
        <v>0</v>
      </c>
    </row>
    <row r="353" spans="1:32" x14ac:dyDescent="0.25">
      <c r="A353" s="315" t="s">
        <v>1722</v>
      </c>
      <c r="B353" s="315" t="s">
        <v>1745</v>
      </c>
      <c r="C353" s="169" t="str">
        <f t="shared" si="57"/>
        <v>A</v>
      </c>
      <c r="D353" s="146" t="str">
        <f t="shared" si="58"/>
        <v>4</v>
      </c>
      <c r="E353" s="147" t="s">
        <v>440</v>
      </c>
      <c r="F353" s="147" t="s">
        <v>323</v>
      </c>
      <c r="G353" s="147" t="s">
        <v>325</v>
      </c>
      <c r="H353" s="148" t="s">
        <v>279</v>
      </c>
      <c r="I353" s="316">
        <v>1840</v>
      </c>
      <c r="J353" s="170">
        <f t="shared" si="59"/>
        <v>0</v>
      </c>
      <c r="K353" s="168" t="str">
        <f t="shared" si="60"/>
        <v xml:space="preserve"> </v>
      </c>
      <c r="L353" s="147">
        <f t="shared" si="62"/>
        <v>1840</v>
      </c>
      <c r="M353" s="147"/>
      <c r="N353" s="147"/>
      <c r="O353" s="147"/>
      <c r="P353" s="147"/>
      <c r="Q353" s="147"/>
      <c r="R353" s="147"/>
      <c r="S353" s="147"/>
      <c r="T353" s="147"/>
      <c r="U353" s="147"/>
      <c r="V353" s="147"/>
      <c r="W353" s="147"/>
      <c r="X353" s="147"/>
      <c r="Y353" s="147"/>
      <c r="Z353" s="147"/>
      <c r="AA353" s="147"/>
      <c r="AB353" s="147"/>
      <c r="AC353" s="147"/>
      <c r="AD353" s="132">
        <f t="shared" si="56"/>
        <v>1840</v>
      </c>
      <c r="AE353" s="132">
        <f t="shared" ref="AE353:AE685" si="63">SUM(J353,K353,AD353)</f>
        <v>1840</v>
      </c>
      <c r="AF353" s="150">
        <f t="shared" ref="AF353:AF685" si="64">+I353-AE353</f>
        <v>0</v>
      </c>
    </row>
    <row r="354" spans="1:32" x14ac:dyDescent="0.25">
      <c r="A354" s="315" t="s">
        <v>1708</v>
      </c>
      <c r="B354" s="315" t="s">
        <v>1171</v>
      </c>
      <c r="C354" s="169" t="str">
        <f t="shared" si="57"/>
        <v>A</v>
      </c>
      <c r="D354" s="146" t="str">
        <f t="shared" si="58"/>
        <v>4</v>
      </c>
      <c r="E354" s="147" t="s">
        <v>440</v>
      </c>
      <c r="F354" s="147" t="s">
        <v>323</v>
      </c>
      <c r="G354" s="147" t="s">
        <v>325</v>
      </c>
      <c r="H354" s="148" t="s">
        <v>279</v>
      </c>
      <c r="I354" s="316">
        <v>3912</v>
      </c>
      <c r="J354" s="170">
        <f t="shared" si="59"/>
        <v>0</v>
      </c>
      <c r="K354" s="168" t="str">
        <f t="shared" si="60"/>
        <v xml:space="preserve"> </v>
      </c>
      <c r="L354" s="147">
        <f t="shared" si="62"/>
        <v>3912</v>
      </c>
      <c r="M354" s="147"/>
      <c r="N354" s="147"/>
      <c r="O354" s="147"/>
      <c r="P354" s="147"/>
      <c r="Q354" s="147"/>
      <c r="R354" s="147"/>
      <c r="S354" s="147"/>
      <c r="T354" s="147"/>
      <c r="U354" s="147"/>
      <c r="V354" s="147"/>
      <c r="W354" s="147"/>
      <c r="X354" s="147"/>
      <c r="Y354" s="147"/>
      <c r="Z354" s="147"/>
      <c r="AA354" s="147"/>
      <c r="AB354" s="147"/>
      <c r="AC354" s="147"/>
      <c r="AD354" s="132">
        <f t="shared" si="56"/>
        <v>3912</v>
      </c>
      <c r="AE354" s="132">
        <f t="shared" si="63"/>
        <v>3912</v>
      </c>
      <c r="AF354" s="150">
        <f t="shared" si="64"/>
        <v>0</v>
      </c>
    </row>
    <row r="355" spans="1:32" x14ac:dyDescent="0.25">
      <c r="A355" s="315" t="s">
        <v>1476</v>
      </c>
      <c r="B355" s="315" t="s">
        <v>1727</v>
      </c>
      <c r="C355" s="169" t="str">
        <f t="shared" si="57"/>
        <v>A</v>
      </c>
      <c r="D355" s="146" t="str">
        <f t="shared" si="58"/>
        <v>4</v>
      </c>
      <c r="E355" s="147" t="s">
        <v>440</v>
      </c>
      <c r="F355" s="147" t="s">
        <v>323</v>
      </c>
      <c r="G355" s="147" t="s">
        <v>325</v>
      </c>
      <c r="H355" s="148" t="s">
        <v>279</v>
      </c>
      <c r="I355" s="316">
        <v>3600</v>
      </c>
      <c r="J355" s="170">
        <f t="shared" si="59"/>
        <v>0</v>
      </c>
      <c r="K355" s="168" t="str">
        <f t="shared" si="60"/>
        <v xml:space="preserve"> </v>
      </c>
      <c r="L355" s="147">
        <f t="shared" si="62"/>
        <v>3600</v>
      </c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  <c r="AA355" s="147"/>
      <c r="AB355" s="147"/>
      <c r="AC355" s="147"/>
      <c r="AD355" s="132">
        <f t="shared" si="56"/>
        <v>3600</v>
      </c>
      <c r="AE355" s="132">
        <f t="shared" si="63"/>
        <v>3600</v>
      </c>
      <c r="AF355" s="150">
        <f t="shared" si="64"/>
        <v>0</v>
      </c>
    </row>
    <row r="356" spans="1:32" x14ac:dyDescent="0.25">
      <c r="A356" s="315" t="s">
        <v>1172</v>
      </c>
      <c r="B356" s="315" t="s">
        <v>762</v>
      </c>
      <c r="C356" s="169" t="str">
        <f t="shared" si="57"/>
        <v>A</v>
      </c>
      <c r="D356" s="146" t="str">
        <f t="shared" si="58"/>
        <v>4</v>
      </c>
      <c r="E356" s="147" t="s">
        <v>440</v>
      </c>
      <c r="F356" s="147" t="s">
        <v>323</v>
      </c>
      <c r="G356" s="147" t="s">
        <v>325</v>
      </c>
      <c r="H356" s="148" t="s">
        <v>279</v>
      </c>
      <c r="I356" s="316">
        <v>7200</v>
      </c>
      <c r="J356" s="170">
        <f t="shared" si="59"/>
        <v>0</v>
      </c>
      <c r="K356" s="168" t="str">
        <f t="shared" si="60"/>
        <v xml:space="preserve"> </v>
      </c>
      <c r="L356" s="147">
        <f t="shared" si="62"/>
        <v>7200</v>
      </c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32">
        <f t="shared" si="56"/>
        <v>7200</v>
      </c>
      <c r="AE356" s="132">
        <f t="shared" si="63"/>
        <v>7200</v>
      </c>
      <c r="AF356" s="150">
        <f t="shared" si="64"/>
        <v>0</v>
      </c>
    </row>
    <row r="357" spans="1:32" x14ac:dyDescent="0.25">
      <c r="A357" s="315" t="s">
        <v>889</v>
      </c>
      <c r="B357" s="315" t="s">
        <v>510</v>
      </c>
      <c r="C357" s="169" t="str">
        <f t="shared" si="57"/>
        <v>A</v>
      </c>
      <c r="D357" s="146" t="str">
        <f t="shared" si="58"/>
        <v>4</v>
      </c>
      <c r="E357" s="147" t="s">
        <v>440</v>
      </c>
      <c r="F357" s="147" t="s">
        <v>323</v>
      </c>
      <c r="G357" s="147" t="s">
        <v>325</v>
      </c>
      <c r="H357" s="148" t="s">
        <v>279</v>
      </c>
      <c r="I357" s="316">
        <v>2500</v>
      </c>
      <c r="J357" s="170">
        <f t="shared" si="59"/>
        <v>0</v>
      </c>
      <c r="K357" s="168" t="str">
        <f t="shared" si="60"/>
        <v xml:space="preserve"> </v>
      </c>
      <c r="L357" s="147"/>
      <c r="M357" s="147">
        <f t="shared" ref="M357:M363" si="65">I357</f>
        <v>2500</v>
      </c>
      <c r="N357" s="147"/>
      <c r="O357" s="147"/>
      <c r="P357" s="147"/>
      <c r="Q357" s="147"/>
      <c r="R357" s="147"/>
      <c r="S357" s="147"/>
      <c r="T357" s="147"/>
      <c r="U357" s="147"/>
      <c r="V357" s="147"/>
      <c r="W357" s="147"/>
      <c r="X357" s="147"/>
      <c r="Y357" s="147"/>
      <c r="Z357" s="147"/>
      <c r="AA357" s="147"/>
      <c r="AB357" s="147"/>
      <c r="AC357" s="147"/>
      <c r="AD357" s="132">
        <f t="shared" si="56"/>
        <v>2500</v>
      </c>
      <c r="AE357" s="132">
        <f t="shared" si="63"/>
        <v>2500</v>
      </c>
      <c r="AF357" s="150">
        <f t="shared" si="64"/>
        <v>0</v>
      </c>
    </row>
    <row r="358" spans="1:32" x14ac:dyDescent="0.25">
      <c r="A358" s="315" t="s">
        <v>1732</v>
      </c>
      <c r="B358" s="315" t="s">
        <v>547</v>
      </c>
      <c r="C358" s="169" t="str">
        <f t="shared" si="57"/>
        <v>A</v>
      </c>
      <c r="D358" s="146" t="str">
        <f t="shared" si="58"/>
        <v>4</v>
      </c>
      <c r="E358" s="147" t="s">
        <v>440</v>
      </c>
      <c r="F358" s="147" t="s">
        <v>323</v>
      </c>
      <c r="G358" s="147" t="s">
        <v>325</v>
      </c>
      <c r="H358" s="148" t="s">
        <v>279</v>
      </c>
      <c r="I358" s="316">
        <v>2940</v>
      </c>
      <c r="J358" s="170">
        <f t="shared" si="59"/>
        <v>0</v>
      </c>
      <c r="K358" s="168" t="str">
        <f t="shared" si="60"/>
        <v xml:space="preserve"> </v>
      </c>
      <c r="L358" s="147"/>
      <c r="M358" s="147">
        <f t="shared" si="65"/>
        <v>2940</v>
      </c>
      <c r="N358" s="147"/>
      <c r="O358" s="147"/>
      <c r="P358" s="147"/>
      <c r="Q358" s="147"/>
      <c r="R358" s="147"/>
      <c r="S358" s="147"/>
      <c r="T358" s="147"/>
      <c r="U358" s="147"/>
      <c r="V358" s="147"/>
      <c r="W358" s="147"/>
      <c r="X358" s="147"/>
      <c r="Y358" s="147"/>
      <c r="Z358" s="147"/>
      <c r="AA358" s="147"/>
      <c r="AB358" s="147"/>
      <c r="AC358" s="147"/>
      <c r="AD358" s="132">
        <f t="shared" si="56"/>
        <v>2940</v>
      </c>
      <c r="AE358" s="132">
        <f t="shared" si="63"/>
        <v>2940</v>
      </c>
      <c r="AF358" s="150">
        <f t="shared" si="64"/>
        <v>0</v>
      </c>
    </row>
    <row r="359" spans="1:32" x14ac:dyDescent="0.25">
      <c r="A359" s="315" t="s">
        <v>1244</v>
      </c>
      <c r="B359" s="315" t="s">
        <v>1136</v>
      </c>
      <c r="C359" s="169" t="str">
        <f t="shared" si="57"/>
        <v>A</v>
      </c>
      <c r="D359" s="146" t="str">
        <f t="shared" si="58"/>
        <v>4</v>
      </c>
      <c r="E359" s="147" t="s">
        <v>440</v>
      </c>
      <c r="F359" s="147" t="s">
        <v>323</v>
      </c>
      <c r="G359" s="147" t="s">
        <v>325</v>
      </c>
      <c r="H359" s="148" t="s">
        <v>279</v>
      </c>
      <c r="I359" s="316">
        <v>160</v>
      </c>
      <c r="J359" s="170">
        <f t="shared" si="59"/>
        <v>0</v>
      </c>
      <c r="K359" s="168" t="str">
        <f t="shared" si="60"/>
        <v xml:space="preserve"> </v>
      </c>
      <c r="L359" s="147"/>
      <c r="M359" s="147">
        <f t="shared" si="65"/>
        <v>160</v>
      </c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  <c r="AD359" s="132">
        <f t="shared" si="56"/>
        <v>160</v>
      </c>
      <c r="AE359" s="132">
        <f t="shared" si="63"/>
        <v>160</v>
      </c>
      <c r="AF359" s="150">
        <f t="shared" si="64"/>
        <v>0</v>
      </c>
    </row>
    <row r="360" spans="1:32" x14ac:dyDescent="0.25">
      <c r="A360" s="315" t="s">
        <v>1599</v>
      </c>
      <c r="B360" s="315" t="s">
        <v>863</v>
      </c>
      <c r="C360" s="169" t="str">
        <f t="shared" si="57"/>
        <v>A</v>
      </c>
      <c r="D360" s="146" t="str">
        <f t="shared" si="58"/>
        <v>4</v>
      </c>
      <c r="E360" s="147" t="s">
        <v>440</v>
      </c>
      <c r="F360" s="147" t="s">
        <v>323</v>
      </c>
      <c r="G360" s="147" t="s">
        <v>325</v>
      </c>
      <c r="H360" s="148" t="s">
        <v>279</v>
      </c>
      <c r="I360" s="316">
        <v>6720</v>
      </c>
      <c r="J360" s="170">
        <f t="shared" si="59"/>
        <v>0</v>
      </c>
      <c r="K360" s="168" t="str">
        <f t="shared" si="60"/>
        <v xml:space="preserve"> </v>
      </c>
      <c r="L360" s="147"/>
      <c r="M360" s="147">
        <f t="shared" si="65"/>
        <v>6720</v>
      </c>
      <c r="N360" s="147"/>
      <c r="O360" s="147"/>
      <c r="P360" s="147"/>
      <c r="Q360" s="147"/>
      <c r="R360" s="147"/>
      <c r="S360" s="147"/>
      <c r="T360" s="147"/>
      <c r="U360" s="147"/>
      <c r="V360" s="147"/>
      <c r="W360" s="147"/>
      <c r="X360" s="147"/>
      <c r="Y360" s="147"/>
      <c r="Z360" s="147"/>
      <c r="AA360" s="147"/>
      <c r="AB360" s="147"/>
      <c r="AC360" s="147"/>
      <c r="AD360" s="132">
        <f t="shared" si="56"/>
        <v>6720</v>
      </c>
      <c r="AE360" s="132">
        <f t="shared" si="63"/>
        <v>6720</v>
      </c>
      <c r="AF360" s="150">
        <f t="shared" si="64"/>
        <v>0</v>
      </c>
    </row>
    <row r="361" spans="1:32" x14ac:dyDescent="0.25">
      <c r="A361" s="315" t="s">
        <v>619</v>
      </c>
      <c r="B361" s="315" t="s">
        <v>614</v>
      </c>
      <c r="C361" s="169" t="str">
        <f t="shared" si="57"/>
        <v>A</v>
      </c>
      <c r="D361" s="146" t="str">
        <f t="shared" si="58"/>
        <v>4</v>
      </c>
      <c r="E361" s="147" t="s">
        <v>440</v>
      </c>
      <c r="F361" s="147" t="s">
        <v>323</v>
      </c>
      <c r="G361" s="147" t="s">
        <v>325</v>
      </c>
      <c r="H361" s="148" t="s">
        <v>279</v>
      </c>
      <c r="I361" s="316">
        <v>2800</v>
      </c>
      <c r="J361" s="170">
        <f t="shared" si="59"/>
        <v>0</v>
      </c>
      <c r="K361" s="168" t="str">
        <f t="shared" si="60"/>
        <v xml:space="preserve"> </v>
      </c>
      <c r="L361" s="147"/>
      <c r="M361" s="147">
        <f t="shared" si="65"/>
        <v>2800</v>
      </c>
      <c r="N361" s="147"/>
      <c r="O361" s="147"/>
      <c r="P361" s="147"/>
      <c r="Q361" s="147"/>
      <c r="R361" s="147"/>
      <c r="S361" s="147"/>
      <c r="T361" s="147"/>
      <c r="U361" s="147"/>
      <c r="V361" s="147"/>
      <c r="W361" s="147"/>
      <c r="X361" s="147"/>
      <c r="Y361" s="147"/>
      <c r="Z361" s="147"/>
      <c r="AA361" s="147"/>
      <c r="AB361" s="147"/>
      <c r="AC361" s="147"/>
      <c r="AD361" s="132">
        <f t="shared" si="56"/>
        <v>2800</v>
      </c>
      <c r="AE361" s="132">
        <f t="shared" si="63"/>
        <v>2800</v>
      </c>
      <c r="AF361" s="150">
        <f t="shared" si="64"/>
        <v>0</v>
      </c>
    </row>
    <row r="362" spans="1:32" x14ac:dyDescent="0.25">
      <c r="A362" s="315" t="s">
        <v>674</v>
      </c>
      <c r="B362" s="315" t="s">
        <v>1064</v>
      </c>
      <c r="C362" s="169" t="str">
        <f t="shared" si="57"/>
        <v>A</v>
      </c>
      <c r="D362" s="146" t="str">
        <f t="shared" si="58"/>
        <v>4</v>
      </c>
      <c r="E362" s="147" t="s">
        <v>440</v>
      </c>
      <c r="F362" s="147" t="s">
        <v>323</v>
      </c>
      <c r="G362" s="147" t="s">
        <v>325</v>
      </c>
      <c r="H362" s="148" t="s">
        <v>279</v>
      </c>
      <c r="I362" s="316">
        <v>10080</v>
      </c>
      <c r="J362" s="170">
        <f t="shared" si="59"/>
        <v>0</v>
      </c>
      <c r="K362" s="168" t="str">
        <f t="shared" si="60"/>
        <v xml:space="preserve"> </v>
      </c>
      <c r="L362" s="147"/>
      <c r="M362" s="147">
        <f t="shared" si="65"/>
        <v>10080</v>
      </c>
      <c r="N362" s="147"/>
      <c r="O362" s="147"/>
      <c r="P362" s="147"/>
      <c r="Q362" s="147"/>
      <c r="R362" s="147"/>
      <c r="S362" s="147"/>
      <c r="T362" s="147"/>
      <c r="U362" s="147"/>
      <c r="V362" s="147"/>
      <c r="W362" s="147"/>
      <c r="X362" s="147"/>
      <c r="Y362" s="147"/>
      <c r="Z362" s="147"/>
      <c r="AA362" s="147"/>
      <c r="AB362" s="147"/>
      <c r="AC362" s="147"/>
      <c r="AD362" s="132">
        <f t="shared" si="56"/>
        <v>10080</v>
      </c>
      <c r="AE362" s="132">
        <f t="shared" si="63"/>
        <v>10080</v>
      </c>
      <c r="AF362" s="150">
        <f t="shared" si="64"/>
        <v>0</v>
      </c>
    </row>
    <row r="363" spans="1:32" x14ac:dyDescent="0.25">
      <c r="A363" s="315" t="s">
        <v>1090</v>
      </c>
      <c r="B363" s="315" t="s">
        <v>1038</v>
      </c>
      <c r="C363" s="169" t="str">
        <f t="shared" si="57"/>
        <v>A</v>
      </c>
      <c r="D363" s="146" t="str">
        <f t="shared" si="58"/>
        <v>4</v>
      </c>
      <c r="E363" s="147" t="s">
        <v>440</v>
      </c>
      <c r="F363" s="147" t="s">
        <v>323</v>
      </c>
      <c r="G363" s="147" t="s">
        <v>325</v>
      </c>
      <c r="H363" s="148" t="s">
        <v>279</v>
      </c>
      <c r="I363" s="316">
        <v>2800</v>
      </c>
      <c r="J363" s="170">
        <f t="shared" si="59"/>
        <v>0</v>
      </c>
      <c r="K363" s="168" t="str">
        <f t="shared" si="60"/>
        <v xml:space="preserve"> </v>
      </c>
      <c r="L363" s="147"/>
      <c r="M363" s="147">
        <f t="shared" si="65"/>
        <v>2800</v>
      </c>
      <c r="N363" s="147"/>
      <c r="O363" s="147"/>
      <c r="P363" s="147"/>
      <c r="Q363" s="147"/>
      <c r="R363" s="147"/>
      <c r="S363" s="147"/>
      <c r="T363" s="147"/>
      <c r="U363" s="147"/>
      <c r="V363" s="147"/>
      <c r="W363" s="147"/>
      <c r="X363" s="147"/>
      <c r="Y363" s="147"/>
      <c r="Z363" s="147"/>
      <c r="AA363" s="147"/>
      <c r="AB363" s="147"/>
      <c r="AC363" s="147"/>
      <c r="AD363" s="132">
        <f t="shared" si="56"/>
        <v>2800</v>
      </c>
      <c r="AE363" s="132">
        <f t="shared" si="63"/>
        <v>2800</v>
      </c>
      <c r="AF363" s="150">
        <f t="shared" si="64"/>
        <v>0</v>
      </c>
    </row>
    <row r="364" spans="1:32" x14ac:dyDescent="0.25">
      <c r="A364" s="315" t="s">
        <v>1643</v>
      </c>
      <c r="B364" s="315" t="s">
        <v>1084</v>
      </c>
      <c r="C364" s="169" t="str">
        <f t="shared" si="57"/>
        <v>A</v>
      </c>
      <c r="D364" s="146" t="str">
        <f t="shared" si="58"/>
        <v>4</v>
      </c>
      <c r="E364" s="147" t="s">
        <v>440</v>
      </c>
      <c r="F364" s="147" t="s">
        <v>323</v>
      </c>
      <c r="G364" s="147" t="s">
        <v>325</v>
      </c>
      <c r="H364" s="148" t="s">
        <v>279</v>
      </c>
      <c r="I364" s="316">
        <v>45000</v>
      </c>
      <c r="J364" s="170">
        <f t="shared" si="59"/>
        <v>0</v>
      </c>
      <c r="K364" s="168" t="str">
        <f t="shared" si="60"/>
        <v xml:space="preserve"> </v>
      </c>
      <c r="L364" s="147"/>
      <c r="M364" s="147"/>
      <c r="N364" s="147">
        <f>I364</f>
        <v>45000</v>
      </c>
      <c r="O364" s="147"/>
      <c r="P364" s="147"/>
      <c r="Q364" s="147"/>
      <c r="R364" s="147"/>
      <c r="S364" s="147"/>
      <c r="T364" s="147"/>
      <c r="U364" s="147"/>
      <c r="V364" s="147"/>
      <c r="W364" s="147"/>
      <c r="X364" s="147"/>
      <c r="Y364" s="147"/>
      <c r="Z364" s="147"/>
      <c r="AA364" s="147"/>
      <c r="AB364" s="147"/>
      <c r="AC364" s="147"/>
      <c r="AD364" s="132">
        <f t="shared" si="56"/>
        <v>45000</v>
      </c>
      <c r="AE364" s="132">
        <f t="shared" si="63"/>
        <v>45000</v>
      </c>
      <c r="AF364" s="150">
        <f t="shared" si="64"/>
        <v>0</v>
      </c>
    </row>
    <row r="365" spans="1:32" x14ac:dyDescent="0.25">
      <c r="A365" s="315" t="s">
        <v>1631</v>
      </c>
      <c r="B365" s="315" t="s">
        <v>1449</v>
      </c>
      <c r="C365" s="169" t="str">
        <f t="shared" si="57"/>
        <v>A</v>
      </c>
      <c r="D365" s="146" t="str">
        <f t="shared" si="58"/>
        <v>4</v>
      </c>
      <c r="E365" s="147" t="s">
        <v>440</v>
      </c>
      <c r="F365" s="147" t="s">
        <v>323</v>
      </c>
      <c r="G365" s="147" t="s">
        <v>325</v>
      </c>
      <c r="H365" s="148" t="s">
        <v>279</v>
      </c>
      <c r="I365" s="316">
        <v>80</v>
      </c>
      <c r="J365" s="170">
        <f t="shared" si="59"/>
        <v>0</v>
      </c>
      <c r="K365" s="168" t="str">
        <f t="shared" si="60"/>
        <v xml:space="preserve"> </v>
      </c>
      <c r="L365" s="147"/>
      <c r="M365" s="147"/>
      <c r="N365" s="147">
        <f>I365</f>
        <v>80</v>
      </c>
      <c r="O365" s="147"/>
      <c r="P365" s="147"/>
      <c r="Q365" s="147"/>
      <c r="R365" s="147"/>
      <c r="S365" s="147"/>
      <c r="T365" s="147"/>
      <c r="U365" s="147"/>
      <c r="V365" s="147"/>
      <c r="W365" s="147"/>
      <c r="X365" s="147"/>
      <c r="Y365" s="147"/>
      <c r="Z365" s="147"/>
      <c r="AA365" s="147"/>
      <c r="AB365" s="147"/>
      <c r="AC365" s="147"/>
      <c r="AD365" s="132">
        <f t="shared" si="56"/>
        <v>80</v>
      </c>
      <c r="AE365" s="132">
        <f t="shared" si="63"/>
        <v>80</v>
      </c>
      <c r="AF365" s="150">
        <f t="shared" si="64"/>
        <v>0</v>
      </c>
    </row>
    <row r="366" spans="1:32" x14ac:dyDescent="0.25">
      <c r="A366" s="315" t="s">
        <v>1467</v>
      </c>
      <c r="B366" s="315" t="s">
        <v>864</v>
      </c>
      <c r="C366" s="169" t="str">
        <f t="shared" si="57"/>
        <v>A</v>
      </c>
      <c r="D366" s="146" t="str">
        <f t="shared" si="58"/>
        <v>4</v>
      </c>
      <c r="E366" s="147" t="s">
        <v>440</v>
      </c>
      <c r="F366" s="147" t="s">
        <v>323</v>
      </c>
      <c r="G366" s="147" t="s">
        <v>325</v>
      </c>
      <c r="H366" s="148" t="s">
        <v>279</v>
      </c>
      <c r="I366" s="316">
        <v>7200</v>
      </c>
      <c r="J366" s="170">
        <f t="shared" si="59"/>
        <v>0</v>
      </c>
      <c r="K366" s="168" t="str">
        <f t="shared" si="60"/>
        <v xml:space="preserve"> </v>
      </c>
      <c r="L366" s="147"/>
      <c r="M366" s="147"/>
      <c r="N366" s="147">
        <f>I366</f>
        <v>7200</v>
      </c>
      <c r="O366" s="147"/>
      <c r="P366" s="147"/>
      <c r="Q366" s="147"/>
      <c r="R366" s="147"/>
      <c r="S366" s="147"/>
      <c r="T366" s="147"/>
      <c r="U366" s="147"/>
      <c r="V366" s="147"/>
      <c r="W366" s="147"/>
      <c r="X366" s="147"/>
      <c r="Y366" s="147"/>
      <c r="Z366" s="147"/>
      <c r="AA366" s="147"/>
      <c r="AB366" s="147"/>
      <c r="AC366" s="147"/>
      <c r="AD366" s="132">
        <f t="shared" si="56"/>
        <v>7200</v>
      </c>
      <c r="AE366" s="132">
        <f t="shared" si="63"/>
        <v>7200</v>
      </c>
      <c r="AF366" s="150">
        <f t="shared" si="64"/>
        <v>0</v>
      </c>
    </row>
    <row r="367" spans="1:32" x14ac:dyDescent="0.25">
      <c r="A367" s="315" t="s">
        <v>1651</v>
      </c>
      <c r="B367" s="315" t="s">
        <v>1413</v>
      </c>
      <c r="C367" s="169" t="str">
        <f t="shared" si="57"/>
        <v>A</v>
      </c>
      <c r="D367" s="146" t="str">
        <f t="shared" si="58"/>
        <v>4</v>
      </c>
      <c r="E367" s="147" t="s">
        <v>440</v>
      </c>
      <c r="F367" s="147" t="s">
        <v>323</v>
      </c>
      <c r="G367" s="147" t="s">
        <v>325</v>
      </c>
      <c r="H367" s="148" t="s">
        <v>279</v>
      </c>
      <c r="I367" s="316">
        <v>45000</v>
      </c>
      <c r="J367" s="170">
        <f t="shared" si="59"/>
        <v>0</v>
      </c>
      <c r="K367" s="168" t="str">
        <f t="shared" si="60"/>
        <v xml:space="preserve"> </v>
      </c>
      <c r="L367" s="147"/>
      <c r="M367" s="147"/>
      <c r="N367" s="147"/>
      <c r="O367" s="147">
        <f>I367</f>
        <v>45000</v>
      </c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  <c r="AA367" s="147"/>
      <c r="AB367" s="147"/>
      <c r="AC367" s="147"/>
      <c r="AD367" s="132">
        <f t="shared" si="56"/>
        <v>45000</v>
      </c>
      <c r="AE367" s="132">
        <f t="shared" si="63"/>
        <v>45000</v>
      </c>
      <c r="AF367" s="150">
        <f t="shared" si="64"/>
        <v>0</v>
      </c>
    </row>
    <row r="368" spans="1:32" x14ac:dyDescent="0.25">
      <c r="A368" s="315" t="s">
        <v>998</v>
      </c>
      <c r="B368" s="315" t="s">
        <v>1417</v>
      </c>
      <c r="C368" s="169" t="str">
        <f t="shared" si="57"/>
        <v>A</v>
      </c>
      <c r="D368" s="146" t="str">
        <f t="shared" si="58"/>
        <v>4</v>
      </c>
      <c r="E368" s="147" t="s">
        <v>440</v>
      </c>
      <c r="F368" s="147" t="s">
        <v>323</v>
      </c>
      <c r="G368" s="147" t="s">
        <v>325</v>
      </c>
      <c r="H368" s="148" t="s">
        <v>279</v>
      </c>
      <c r="I368" s="316">
        <v>240</v>
      </c>
      <c r="J368" s="170">
        <f t="shared" si="59"/>
        <v>0</v>
      </c>
      <c r="K368" s="168" t="str">
        <f t="shared" si="60"/>
        <v xml:space="preserve"> </v>
      </c>
      <c r="L368" s="147"/>
      <c r="M368" s="147"/>
      <c r="N368" s="147"/>
      <c r="O368" s="147">
        <f>I368</f>
        <v>240</v>
      </c>
      <c r="P368" s="147"/>
      <c r="Q368" s="147"/>
      <c r="R368" s="147"/>
      <c r="S368" s="147"/>
      <c r="T368" s="147"/>
      <c r="U368" s="147"/>
      <c r="V368" s="147"/>
      <c r="W368" s="147"/>
      <c r="X368" s="147"/>
      <c r="Y368" s="147"/>
      <c r="Z368" s="147"/>
      <c r="AA368" s="147"/>
      <c r="AB368" s="147"/>
      <c r="AC368" s="147"/>
      <c r="AD368" s="132">
        <f t="shared" si="56"/>
        <v>240</v>
      </c>
      <c r="AE368" s="132">
        <f t="shared" si="63"/>
        <v>240</v>
      </c>
      <c r="AF368" s="150">
        <f t="shared" si="64"/>
        <v>0</v>
      </c>
    </row>
    <row r="369" spans="1:32" x14ac:dyDescent="0.25">
      <c r="A369" s="315" t="s">
        <v>1092</v>
      </c>
      <c r="B369" s="315" t="s">
        <v>616</v>
      </c>
      <c r="C369" s="169" t="str">
        <f t="shared" si="57"/>
        <v>A</v>
      </c>
      <c r="D369" s="146" t="str">
        <f t="shared" si="58"/>
        <v>4</v>
      </c>
      <c r="E369" s="147" t="s">
        <v>440</v>
      </c>
      <c r="F369" s="147" t="s">
        <v>323</v>
      </c>
      <c r="G369" s="147" t="s">
        <v>325</v>
      </c>
      <c r="H369" s="148" t="s">
        <v>279</v>
      </c>
      <c r="I369" s="316">
        <v>8000</v>
      </c>
      <c r="J369" s="170">
        <f t="shared" si="59"/>
        <v>0</v>
      </c>
      <c r="K369" s="168" t="str">
        <f t="shared" si="60"/>
        <v xml:space="preserve"> </v>
      </c>
      <c r="L369" s="147"/>
      <c r="M369" s="147"/>
      <c r="N369" s="147"/>
      <c r="O369" s="147">
        <f>I369</f>
        <v>8000</v>
      </c>
      <c r="P369" s="147"/>
      <c r="Q369" s="147"/>
      <c r="R369" s="147"/>
      <c r="S369" s="147"/>
      <c r="T369" s="147"/>
      <c r="U369" s="147"/>
      <c r="V369" s="147"/>
      <c r="W369" s="147"/>
      <c r="X369" s="147"/>
      <c r="Y369" s="147"/>
      <c r="Z369" s="147"/>
      <c r="AA369" s="147"/>
      <c r="AB369" s="147"/>
      <c r="AC369" s="147"/>
      <c r="AD369" s="132">
        <f t="shared" si="56"/>
        <v>8000</v>
      </c>
      <c r="AE369" s="132">
        <f t="shared" si="63"/>
        <v>8000</v>
      </c>
      <c r="AF369" s="150">
        <f t="shared" si="64"/>
        <v>0</v>
      </c>
    </row>
    <row r="370" spans="1:32" x14ac:dyDescent="0.25">
      <c r="A370" s="315" t="s">
        <v>1315</v>
      </c>
      <c r="B370" s="315" t="s">
        <v>691</v>
      </c>
      <c r="C370" s="169" t="str">
        <f t="shared" si="57"/>
        <v>A</v>
      </c>
      <c r="D370" s="146" t="str">
        <f t="shared" si="58"/>
        <v>4</v>
      </c>
      <c r="E370" s="147" t="s">
        <v>440</v>
      </c>
      <c r="F370" s="147" t="s">
        <v>323</v>
      </c>
      <c r="G370" s="147" t="s">
        <v>325</v>
      </c>
      <c r="H370" s="148" t="s">
        <v>279</v>
      </c>
      <c r="I370" s="316">
        <v>45000</v>
      </c>
      <c r="J370" s="170">
        <f t="shared" si="59"/>
        <v>0</v>
      </c>
      <c r="K370" s="168" t="str">
        <f t="shared" si="60"/>
        <v xml:space="preserve"> </v>
      </c>
      <c r="L370" s="147"/>
      <c r="M370" s="147"/>
      <c r="N370" s="147"/>
      <c r="O370" s="147"/>
      <c r="P370" s="147">
        <f>I370</f>
        <v>45000</v>
      </c>
      <c r="Q370" s="147"/>
      <c r="R370" s="147"/>
      <c r="S370" s="147"/>
      <c r="T370" s="147"/>
      <c r="U370" s="147"/>
      <c r="V370" s="147"/>
      <c r="W370" s="147"/>
      <c r="X370" s="147"/>
      <c r="Y370" s="147"/>
      <c r="Z370" s="147"/>
      <c r="AA370" s="147"/>
      <c r="AB370" s="147"/>
      <c r="AC370" s="147"/>
      <c r="AD370" s="132">
        <f t="shared" si="56"/>
        <v>45000</v>
      </c>
      <c r="AE370" s="132">
        <f t="shared" si="63"/>
        <v>45000</v>
      </c>
      <c r="AF370" s="150">
        <f t="shared" si="64"/>
        <v>0</v>
      </c>
    </row>
    <row r="371" spans="1:32" x14ac:dyDescent="0.25">
      <c r="A371" s="315" t="s">
        <v>693</v>
      </c>
      <c r="B371" s="315" t="s">
        <v>617</v>
      </c>
      <c r="C371" s="169" t="str">
        <f t="shared" si="57"/>
        <v>A</v>
      </c>
      <c r="D371" s="146" t="str">
        <f t="shared" si="58"/>
        <v>4</v>
      </c>
      <c r="E371" s="147" t="s">
        <v>440</v>
      </c>
      <c r="F371" s="147" t="s">
        <v>323</v>
      </c>
      <c r="G371" s="147" t="s">
        <v>325</v>
      </c>
      <c r="H371" s="148" t="s">
        <v>279</v>
      </c>
      <c r="I371" s="316">
        <v>240</v>
      </c>
      <c r="J371" s="170">
        <f t="shared" si="59"/>
        <v>0</v>
      </c>
      <c r="K371" s="168" t="str">
        <f t="shared" si="60"/>
        <v xml:space="preserve"> </v>
      </c>
      <c r="L371" s="147"/>
      <c r="M371" s="147"/>
      <c r="N371" s="147"/>
      <c r="O371" s="147"/>
      <c r="P371" s="147">
        <f>I371</f>
        <v>240</v>
      </c>
      <c r="Q371" s="147"/>
      <c r="R371" s="147"/>
      <c r="S371" s="147"/>
      <c r="T371" s="147"/>
      <c r="U371" s="147"/>
      <c r="V371" s="147"/>
      <c r="W371" s="147"/>
      <c r="X371" s="147"/>
      <c r="Y371" s="147"/>
      <c r="Z371" s="147"/>
      <c r="AA371" s="147"/>
      <c r="AB371" s="147"/>
      <c r="AC371" s="147"/>
      <c r="AD371" s="132">
        <f t="shared" si="56"/>
        <v>240</v>
      </c>
      <c r="AE371" s="132">
        <f t="shared" si="63"/>
        <v>240</v>
      </c>
      <c r="AF371" s="150">
        <f t="shared" si="64"/>
        <v>0</v>
      </c>
    </row>
    <row r="372" spans="1:32" x14ac:dyDescent="0.25">
      <c r="A372" s="315" t="s">
        <v>1057</v>
      </c>
      <c r="B372" s="315" t="s">
        <v>862</v>
      </c>
      <c r="C372" s="169" t="str">
        <f t="shared" si="57"/>
        <v>A</v>
      </c>
      <c r="D372" s="146" t="str">
        <f t="shared" si="58"/>
        <v>4</v>
      </c>
      <c r="E372" s="147" t="s">
        <v>440</v>
      </c>
      <c r="F372" s="147" t="s">
        <v>323</v>
      </c>
      <c r="G372" s="147" t="s">
        <v>325</v>
      </c>
      <c r="H372" s="148" t="s">
        <v>279</v>
      </c>
      <c r="I372" s="316">
        <v>8000</v>
      </c>
      <c r="J372" s="170">
        <f t="shared" si="59"/>
        <v>0</v>
      </c>
      <c r="K372" s="168" t="str">
        <f t="shared" si="60"/>
        <v xml:space="preserve"> </v>
      </c>
      <c r="L372" s="147"/>
      <c r="M372" s="147"/>
      <c r="N372" s="147"/>
      <c r="O372" s="147"/>
      <c r="P372" s="147">
        <f>I372</f>
        <v>8000</v>
      </c>
      <c r="Q372" s="147"/>
      <c r="R372" s="147"/>
      <c r="S372" s="147"/>
      <c r="T372" s="147"/>
      <c r="U372" s="147"/>
      <c r="V372" s="147"/>
      <c r="W372" s="147"/>
      <c r="X372" s="147"/>
      <c r="Y372" s="147"/>
      <c r="Z372" s="147"/>
      <c r="AA372" s="147"/>
      <c r="AB372" s="147"/>
      <c r="AC372" s="147"/>
      <c r="AD372" s="132">
        <f t="shared" si="56"/>
        <v>8000</v>
      </c>
      <c r="AE372" s="132">
        <f t="shared" si="63"/>
        <v>8000</v>
      </c>
      <c r="AF372" s="150">
        <f t="shared" si="64"/>
        <v>0</v>
      </c>
    </row>
    <row r="373" spans="1:32" x14ac:dyDescent="0.25">
      <c r="A373" s="315" t="s">
        <v>1358</v>
      </c>
      <c r="B373" s="315" t="s">
        <v>1465</v>
      </c>
      <c r="C373" s="169" t="str">
        <f t="shared" si="57"/>
        <v>A</v>
      </c>
      <c r="D373" s="146" t="str">
        <f t="shared" si="58"/>
        <v>4</v>
      </c>
      <c r="E373" s="147" t="s">
        <v>440</v>
      </c>
      <c r="F373" s="147" t="s">
        <v>322</v>
      </c>
      <c r="G373" s="147" t="s">
        <v>325</v>
      </c>
      <c r="H373" s="148" t="s">
        <v>279</v>
      </c>
      <c r="I373" s="316">
        <v>39519</v>
      </c>
      <c r="J373" s="170">
        <f t="shared" si="59"/>
        <v>0</v>
      </c>
      <c r="K373" s="168" t="str">
        <f t="shared" si="60"/>
        <v xml:space="preserve"> </v>
      </c>
      <c r="L373" s="147">
        <f>$I$373*L7</f>
        <v>12892.815117801047</v>
      </c>
      <c r="M373" s="147">
        <f t="shared" ref="M373:P373" si="66">$I$373*M7</f>
        <v>9310.7591623036642</v>
      </c>
      <c r="N373" s="147">
        <f t="shared" si="66"/>
        <v>5547.6606675392668</v>
      </c>
      <c r="O373" s="147">
        <f t="shared" si="66"/>
        <v>5676.9767670157071</v>
      </c>
      <c r="P373" s="147">
        <f t="shared" si="66"/>
        <v>6090.7882853403144</v>
      </c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  <c r="AA373" s="147"/>
      <c r="AB373" s="147"/>
      <c r="AC373" s="147"/>
      <c r="AD373" s="132">
        <f t="shared" si="56"/>
        <v>39519</v>
      </c>
      <c r="AE373" s="132">
        <f t="shared" si="63"/>
        <v>39519</v>
      </c>
      <c r="AF373" s="150">
        <f t="shared" si="64"/>
        <v>0</v>
      </c>
    </row>
    <row r="374" spans="1:32" x14ac:dyDescent="0.25">
      <c r="A374" s="315" t="s">
        <v>1129</v>
      </c>
      <c r="B374" s="315" t="s">
        <v>1095</v>
      </c>
      <c r="C374" s="169" t="str">
        <f t="shared" si="57"/>
        <v>A</v>
      </c>
      <c r="D374" s="146" t="str">
        <f t="shared" si="58"/>
        <v>4</v>
      </c>
      <c r="E374" s="147" t="s">
        <v>440</v>
      </c>
      <c r="F374" s="147" t="s">
        <v>322</v>
      </c>
      <c r="G374" s="147" t="s">
        <v>325</v>
      </c>
      <c r="H374" s="148" t="s">
        <v>279</v>
      </c>
      <c r="I374" s="316">
        <v>129150</v>
      </c>
      <c r="J374" s="170">
        <f t="shared" si="59"/>
        <v>0</v>
      </c>
      <c r="K374" s="168" t="str">
        <f t="shared" si="60"/>
        <v xml:space="preserve"> </v>
      </c>
      <c r="L374" s="147">
        <f>$I$374*L7</f>
        <v>42134.34227748691</v>
      </c>
      <c r="M374" s="147">
        <f t="shared" ref="M374:P374" si="67">$I$374*M7</f>
        <v>30428.010471204187</v>
      </c>
      <c r="N374" s="147">
        <f t="shared" si="67"/>
        <v>18130.022905759164</v>
      </c>
      <c r="O374" s="147">
        <f t="shared" si="67"/>
        <v>18552.634162303664</v>
      </c>
      <c r="P374" s="147">
        <f t="shared" si="67"/>
        <v>19904.990183246075</v>
      </c>
      <c r="Q374" s="147"/>
      <c r="R374" s="147"/>
      <c r="S374" s="147"/>
      <c r="T374" s="147"/>
      <c r="U374" s="147"/>
      <c r="V374" s="147"/>
      <c r="W374" s="147"/>
      <c r="X374" s="147"/>
      <c r="Y374" s="147"/>
      <c r="Z374" s="147"/>
      <c r="AA374" s="147"/>
      <c r="AB374" s="147"/>
      <c r="AC374" s="147"/>
      <c r="AD374" s="132">
        <f t="shared" si="56"/>
        <v>129150.00000000001</v>
      </c>
      <c r="AE374" s="132">
        <f t="shared" si="63"/>
        <v>129150.00000000001</v>
      </c>
      <c r="AF374" s="150">
        <f t="shared" si="64"/>
        <v>0</v>
      </c>
    </row>
    <row r="375" spans="1:32" x14ac:dyDescent="0.25">
      <c r="A375" s="315" t="s">
        <v>831</v>
      </c>
      <c r="B375" s="315" t="s">
        <v>897</v>
      </c>
      <c r="C375" s="169" t="str">
        <f t="shared" si="57"/>
        <v>A</v>
      </c>
      <c r="D375" s="146" t="str">
        <f t="shared" si="58"/>
        <v>4</v>
      </c>
      <c r="E375" s="147" t="s">
        <v>440</v>
      </c>
      <c r="F375" s="147" t="s">
        <v>322</v>
      </c>
      <c r="G375" s="147" t="s">
        <v>325</v>
      </c>
      <c r="H375" s="148" t="s">
        <v>279</v>
      </c>
      <c r="I375" s="316">
        <v>21525</v>
      </c>
      <c r="J375" s="170">
        <f t="shared" si="59"/>
        <v>0</v>
      </c>
      <c r="K375" s="168" t="str">
        <f t="shared" si="60"/>
        <v xml:space="preserve"> </v>
      </c>
      <c r="L375" s="147">
        <f>I375</f>
        <v>21525</v>
      </c>
      <c r="M375" s="147"/>
      <c r="N375" s="147"/>
      <c r="O375" s="147"/>
      <c r="P375" s="147"/>
      <c r="Q375" s="147"/>
      <c r="R375" s="147"/>
      <c r="S375" s="147"/>
      <c r="T375" s="147"/>
      <c r="U375" s="147"/>
      <c r="V375" s="147"/>
      <c r="W375" s="147"/>
      <c r="X375" s="147"/>
      <c r="Y375" s="147"/>
      <c r="Z375" s="147"/>
      <c r="AA375" s="147"/>
      <c r="AB375" s="147"/>
      <c r="AC375" s="147"/>
      <c r="AD375" s="132">
        <f t="shared" si="56"/>
        <v>21525</v>
      </c>
      <c r="AE375" s="132">
        <f t="shared" si="63"/>
        <v>21525</v>
      </c>
      <c r="AF375" s="150">
        <f t="shared" si="64"/>
        <v>0</v>
      </c>
    </row>
    <row r="376" spans="1:32" x14ac:dyDescent="0.25">
      <c r="A376" s="315" t="s">
        <v>1363</v>
      </c>
      <c r="B376" s="315" t="s">
        <v>705</v>
      </c>
      <c r="C376" s="169" t="str">
        <f t="shared" si="57"/>
        <v>A</v>
      </c>
      <c r="D376" s="146" t="str">
        <f t="shared" si="58"/>
        <v>4</v>
      </c>
      <c r="E376" s="147" t="s">
        <v>440</v>
      </c>
      <c r="F376" s="147" t="s">
        <v>322</v>
      </c>
      <c r="G376" s="147" t="s">
        <v>325</v>
      </c>
      <c r="H376" s="148" t="s">
        <v>279</v>
      </c>
      <c r="I376" s="316">
        <v>2880</v>
      </c>
      <c r="J376" s="170">
        <f t="shared" si="59"/>
        <v>0</v>
      </c>
      <c r="K376" s="168" t="str">
        <f t="shared" si="60"/>
        <v xml:space="preserve"> </v>
      </c>
      <c r="L376" s="147">
        <f>I376</f>
        <v>2880</v>
      </c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  <c r="AA376" s="147"/>
      <c r="AB376" s="147"/>
      <c r="AC376" s="147"/>
      <c r="AD376" s="132">
        <f t="shared" si="56"/>
        <v>2880</v>
      </c>
      <c r="AE376" s="132">
        <f t="shared" si="63"/>
        <v>2880</v>
      </c>
      <c r="AF376" s="150">
        <f t="shared" si="64"/>
        <v>0</v>
      </c>
    </row>
    <row r="377" spans="1:32" x14ac:dyDescent="0.25">
      <c r="A377" s="315" t="s">
        <v>1418</v>
      </c>
      <c r="B377" s="315" t="s">
        <v>1329</v>
      </c>
      <c r="C377" s="169" t="str">
        <f t="shared" si="57"/>
        <v>A</v>
      </c>
      <c r="D377" s="146" t="str">
        <f t="shared" si="58"/>
        <v>4</v>
      </c>
      <c r="E377" s="147" t="s">
        <v>440</v>
      </c>
      <c r="F377" s="147" t="s">
        <v>322</v>
      </c>
      <c r="G377" s="147" t="s">
        <v>325</v>
      </c>
      <c r="H377" s="148" t="s">
        <v>279</v>
      </c>
      <c r="I377" s="316">
        <v>26650</v>
      </c>
      <c r="J377" s="170">
        <f t="shared" si="59"/>
        <v>0</v>
      </c>
      <c r="K377" s="168" t="str">
        <f t="shared" si="60"/>
        <v xml:space="preserve"> </v>
      </c>
      <c r="L377" s="147"/>
      <c r="M377" s="147">
        <f>I377</f>
        <v>26650</v>
      </c>
      <c r="N377" s="147"/>
      <c r="O377" s="147"/>
      <c r="P377" s="147"/>
      <c r="Q377" s="147"/>
      <c r="R377" s="147"/>
      <c r="S377" s="147"/>
      <c r="T377" s="147"/>
      <c r="U377" s="147"/>
      <c r="V377" s="147"/>
      <c r="W377" s="147"/>
      <c r="X377" s="147"/>
      <c r="Y377" s="147"/>
      <c r="Z377" s="147"/>
      <c r="AA377" s="147"/>
      <c r="AB377" s="147"/>
      <c r="AC377" s="147"/>
      <c r="AD377" s="132">
        <f t="shared" si="56"/>
        <v>26650</v>
      </c>
      <c r="AE377" s="132">
        <f t="shared" si="63"/>
        <v>26650</v>
      </c>
      <c r="AF377" s="150">
        <f t="shared" si="64"/>
        <v>0</v>
      </c>
    </row>
    <row r="378" spans="1:32" x14ac:dyDescent="0.25">
      <c r="A378" s="315" t="s">
        <v>680</v>
      </c>
      <c r="B378" s="315" t="s">
        <v>1359</v>
      </c>
      <c r="C378" s="169" t="str">
        <f t="shared" si="57"/>
        <v>A</v>
      </c>
      <c r="D378" s="146" t="str">
        <f t="shared" si="58"/>
        <v>4</v>
      </c>
      <c r="E378" s="147" t="s">
        <v>440</v>
      </c>
      <c r="F378" s="147" t="s">
        <v>322</v>
      </c>
      <c r="G378" s="147" t="s">
        <v>325</v>
      </c>
      <c r="H378" s="148" t="s">
        <v>279</v>
      </c>
      <c r="I378" s="316">
        <v>19475</v>
      </c>
      <c r="J378" s="170">
        <f t="shared" si="59"/>
        <v>0</v>
      </c>
      <c r="K378" s="168" t="str">
        <f t="shared" si="60"/>
        <v xml:space="preserve"> </v>
      </c>
      <c r="L378" s="147"/>
      <c r="M378" s="147"/>
      <c r="N378" s="147">
        <f>I378</f>
        <v>19475</v>
      </c>
      <c r="O378" s="147"/>
      <c r="P378" s="147"/>
      <c r="Q378" s="147"/>
      <c r="R378" s="147"/>
      <c r="S378" s="147"/>
      <c r="T378" s="147"/>
      <c r="U378" s="147"/>
      <c r="V378" s="147"/>
      <c r="W378" s="147"/>
      <c r="X378" s="147"/>
      <c r="Y378" s="147"/>
      <c r="Z378" s="147"/>
      <c r="AA378" s="147"/>
      <c r="AB378" s="147"/>
      <c r="AC378" s="147"/>
      <c r="AD378" s="132">
        <f t="shared" si="56"/>
        <v>19475</v>
      </c>
      <c r="AE378" s="132">
        <f t="shared" si="63"/>
        <v>19475</v>
      </c>
      <c r="AF378" s="150">
        <f t="shared" si="64"/>
        <v>0</v>
      </c>
    </row>
    <row r="379" spans="1:32" x14ac:dyDescent="0.25">
      <c r="A379" s="315" t="s">
        <v>768</v>
      </c>
      <c r="B379" s="315" t="s">
        <v>1573</v>
      </c>
      <c r="C379" s="169" t="str">
        <f t="shared" si="57"/>
        <v>A</v>
      </c>
      <c r="D379" s="146" t="str">
        <f t="shared" si="58"/>
        <v>4</v>
      </c>
      <c r="E379" s="147" t="s">
        <v>440</v>
      </c>
      <c r="F379" s="147" t="s">
        <v>322</v>
      </c>
      <c r="G379" s="147" t="s">
        <v>325</v>
      </c>
      <c r="H379" s="148" t="s">
        <v>279</v>
      </c>
      <c r="I379" s="316">
        <v>23575</v>
      </c>
      <c r="J379" s="170">
        <f t="shared" si="59"/>
        <v>0</v>
      </c>
      <c r="K379" s="168" t="str">
        <f t="shared" si="60"/>
        <v xml:space="preserve"> </v>
      </c>
      <c r="L379" s="147"/>
      <c r="M379" s="147"/>
      <c r="N379" s="147"/>
      <c r="O379" s="147">
        <f>I379</f>
        <v>23575</v>
      </c>
      <c r="P379" s="147"/>
      <c r="Q379" s="147"/>
      <c r="R379" s="147"/>
      <c r="S379" s="147"/>
      <c r="T379" s="147"/>
      <c r="U379" s="147"/>
      <c r="V379" s="147"/>
      <c r="W379" s="147"/>
      <c r="X379" s="147"/>
      <c r="Y379" s="147"/>
      <c r="Z379" s="147"/>
      <c r="AA379" s="147"/>
      <c r="AB379" s="147"/>
      <c r="AC379" s="147"/>
      <c r="AD379" s="132">
        <f t="shared" si="56"/>
        <v>23575</v>
      </c>
      <c r="AE379" s="132">
        <f t="shared" si="63"/>
        <v>23575</v>
      </c>
      <c r="AF379" s="150">
        <f t="shared" si="64"/>
        <v>0</v>
      </c>
    </row>
    <row r="380" spans="1:32" x14ac:dyDescent="0.25">
      <c r="A380" s="315" t="s">
        <v>825</v>
      </c>
      <c r="B380" s="315" t="s">
        <v>1450</v>
      </c>
      <c r="C380" s="169" t="str">
        <f t="shared" si="57"/>
        <v>A</v>
      </c>
      <c r="D380" s="146" t="str">
        <f t="shared" si="58"/>
        <v>4</v>
      </c>
      <c r="E380" s="147" t="s">
        <v>440</v>
      </c>
      <c r="F380" s="147" t="s">
        <v>322</v>
      </c>
      <c r="G380" s="147" t="s">
        <v>325</v>
      </c>
      <c r="H380" s="148" t="s">
        <v>279</v>
      </c>
      <c r="I380" s="316">
        <v>960</v>
      </c>
      <c r="J380" s="170">
        <f t="shared" si="59"/>
        <v>0</v>
      </c>
      <c r="K380" s="168" t="str">
        <f t="shared" si="60"/>
        <v xml:space="preserve"> </v>
      </c>
      <c r="L380" s="147"/>
      <c r="M380" s="147"/>
      <c r="N380" s="147"/>
      <c r="O380" s="147">
        <f>I380</f>
        <v>960</v>
      </c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32">
        <f t="shared" si="56"/>
        <v>960</v>
      </c>
      <c r="AE380" s="132">
        <f t="shared" si="63"/>
        <v>960</v>
      </c>
      <c r="AF380" s="150">
        <f t="shared" si="64"/>
        <v>0</v>
      </c>
    </row>
    <row r="381" spans="1:32" x14ac:dyDescent="0.25">
      <c r="A381" s="315" t="s">
        <v>1667</v>
      </c>
      <c r="B381" s="315" t="s">
        <v>1264</v>
      </c>
      <c r="C381" s="169" t="str">
        <f t="shared" si="57"/>
        <v>A</v>
      </c>
      <c r="D381" s="146" t="str">
        <f t="shared" si="58"/>
        <v>4</v>
      </c>
      <c r="E381" s="147" t="s">
        <v>440</v>
      </c>
      <c r="F381" s="147" t="s">
        <v>322</v>
      </c>
      <c r="G381" s="147" t="s">
        <v>325</v>
      </c>
      <c r="H381" s="148" t="s">
        <v>279</v>
      </c>
      <c r="I381" s="316">
        <v>24600</v>
      </c>
      <c r="J381" s="170">
        <f t="shared" si="59"/>
        <v>0</v>
      </c>
      <c r="K381" s="168" t="str">
        <f t="shared" si="60"/>
        <v xml:space="preserve"> </v>
      </c>
      <c r="L381" s="147"/>
      <c r="M381" s="147"/>
      <c r="N381" s="147"/>
      <c r="O381" s="147"/>
      <c r="P381" s="147">
        <f>I381</f>
        <v>24600</v>
      </c>
      <c r="Q381" s="147"/>
      <c r="R381" s="147"/>
      <c r="S381" s="147"/>
      <c r="T381" s="147"/>
      <c r="U381" s="147"/>
      <c r="V381" s="147"/>
      <c r="W381" s="147"/>
      <c r="X381" s="147"/>
      <c r="Y381" s="147"/>
      <c r="Z381" s="147"/>
      <c r="AA381" s="147"/>
      <c r="AB381" s="147"/>
      <c r="AC381" s="147"/>
      <c r="AD381" s="132">
        <f t="shared" si="56"/>
        <v>24600</v>
      </c>
      <c r="AE381" s="132">
        <f t="shared" si="63"/>
        <v>24600</v>
      </c>
      <c r="AF381" s="150">
        <f t="shared" si="64"/>
        <v>0</v>
      </c>
    </row>
    <row r="382" spans="1:32" x14ac:dyDescent="0.25">
      <c r="A382" s="315" t="s">
        <v>1630</v>
      </c>
      <c r="B382" s="315" t="s">
        <v>821</v>
      </c>
      <c r="C382" s="169" t="str">
        <f t="shared" si="57"/>
        <v>A</v>
      </c>
      <c r="D382" s="146" t="str">
        <f t="shared" si="58"/>
        <v>4</v>
      </c>
      <c r="E382" s="147" t="s">
        <v>440</v>
      </c>
      <c r="F382" s="147" t="s">
        <v>322</v>
      </c>
      <c r="G382" s="147" t="s">
        <v>325</v>
      </c>
      <c r="H382" s="148" t="s">
        <v>279</v>
      </c>
      <c r="I382" s="316">
        <v>0</v>
      </c>
      <c r="J382" s="170">
        <f t="shared" si="59"/>
        <v>0</v>
      </c>
      <c r="K382" s="168" t="str">
        <f t="shared" si="60"/>
        <v xml:space="preserve"> </v>
      </c>
      <c r="L382" s="147">
        <f>I382</f>
        <v>0</v>
      </c>
      <c r="M382" s="147"/>
      <c r="N382" s="147"/>
      <c r="O382" s="147"/>
      <c r="P382" s="147"/>
      <c r="Q382" s="147"/>
      <c r="R382" s="147"/>
      <c r="S382" s="147"/>
      <c r="T382" s="147"/>
      <c r="U382" s="147"/>
      <c r="V382" s="147"/>
      <c r="W382" s="147"/>
      <c r="X382" s="147"/>
      <c r="Y382" s="147"/>
      <c r="Z382" s="147"/>
      <c r="AA382" s="147"/>
      <c r="AB382" s="147"/>
      <c r="AC382" s="147"/>
      <c r="AD382" s="132">
        <f t="shared" si="56"/>
        <v>0</v>
      </c>
      <c r="AE382" s="132">
        <f t="shared" si="63"/>
        <v>0</v>
      </c>
      <c r="AF382" s="150">
        <f t="shared" si="64"/>
        <v>0</v>
      </c>
    </row>
    <row r="383" spans="1:32" x14ac:dyDescent="0.25">
      <c r="A383" s="315" t="s">
        <v>913</v>
      </c>
      <c r="B383" s="315" t="s">
        <v>471</v>
      </c>
      <c r="C383" s="169" t="str">
        <f t="shared" si="57"/>
        <v>A</v>
      </c>
      <c r="D383" s="146" t="str">
        <f t="shared" si="58"/>
        <v>1</v>
      </c>
      <c r="E383" s="147" t="s">
        <v>440</v>
      </c>
      <c r="F383" s="147" t="s">
        <v>319</v>
      </c>
      <c r="G383" s="147" t="s">
        <v>327</v>
      </c>
      <c r="H383" s="148" t="s">
        <v>279</v>
      </c>
      <c r="I383" s="316">
        <v>835633</v>
      </c>
      <c r="J383" s="170">
        <f t="shared" si="59"/>
        <v>0</v>
      </c>
      <c r="K383" s="168" t="str">
        <f t="shared" si="60"/>
        <v xml:space="preserve"> </v>
      </c>
      <c r="L383" s="147">
        <f>I383</f>
        <v>835633</v>
      </c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32">
        <f t="shared" si="56"/>
        <v>835633</v>
      </c>
      <c r="AE383" s="132">
        <f t="shared" si="63"/>
        <v>835633</v>
      </c>
      <c r="AF383" s="150">
        <f t="shared" si="64"/>
        <v>0</v>
      </c>
    </row>
    <row r="384" spans="1:32" x14ac:dyDescent="0.25">
      <c r="A384" s="315" t="s">
        <v>767</v>
      </c>
      <c r="B384" s="315" t="s">
        <v>759</v>
      </c>
      <c r="C384" s="169" t="str">
        <f t="shared" si="57"/>
        <v>A</v>
      </c>
      <c r="D384" s="146" t="str">
        <f t="shared" si="58"/>
        <v>1</v>
      </c>
      <c r="E384" s="147" t="s">
        <v>440</v>
      </c>
      <c r="F384" s="147" t="s">
        <v>319</v>
      </c>
      <c r="G384" s="147" t="s">
        <v>327</v>
      </c>
      <c r="H384" s="148" t="s">
        <v>279</v>
      </c>
      <c r="I384" s="316">
        <v>343315</v>
      </c>
      <c r="J384" s="170">
        <f t="shared" si="59"/>
        <v>0</v>
      </c>
      <c r="K384" s="168" t="str">
        <f t="shared" si="60"/>
        <v xml:space="preserve"> </v>
      </c>
      <c r="L384" s="147">
        <f>I384</f>
        <v>343315</v>
      </c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  <c r="AA384" s="147"/>
      <c r="AB384" s="147"/>
      <c r="AC384" s="147"/>
      <c r="AD384" s="132">
        <f t="shared" si="56"/>
        <v>343315</v>
      </c>
      <c r="AE384" s="132">
        <f t="shared" si="63"/>
        <v>343315</v>
      </c>
      <c r="AF384" s="150">
        <f t="shared" si="64"/>
        <v>0</v>
      </c>
    </row>
    <row r="385" spans="1:32" x14ac:dyDescent="0.25">
      <c r="A385" s="315" t="s">
        <v>1118</v>
      </c>
      <c r="B385" s="315" t="s">
        <v>1610</v>
      </c>
      <c r="C385" s="169" t="str">
        <f t="shared" si="57"/>
        <v>A</v>
      </c>
      <c r="D385" s="146" t="str">
        <f t="shared" si="58"/>
        <v>1</v>
      </c>
      <c r="E385" s="147" t="s">
        <v>440</v>
      </c>
      <c r="F385" s="147" t="s">
        <v>319</v>
      </c>
      <c r="G385" s="147" t="s">
        <v>327</v>
      </c>
      <c r="H385" s="148" t="s">
        <v>279</v>
      </c>
      <c r="I385" s="316">
        <v>50000</v>
      </c>
      <c r="J385" s="170">
        <f t="shared" si="59"/>
        <v>0</v>
      </c>
      <c r="K385" s="168" t="str">
        <f t="shared" si="60"/>
        <v xml:space="preserve"> </v>
      </c>
      <c r="L385" s="147">
        <f>I385</f>
        <v>50000</v>
      </c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  <c r="Z385" s="147"/>
      <c r="AA385" s="147"/>
      <c r="AB385" s="147"/>
      <c r="AC385" s="147"/>
      <c r="AD385" s="132">
        <f t="shared" si="56"/>
        <v>50000</v>
      </c>
      <c r="AE385" s="132">
        <f t="shared" si="63"/>
        <v>50000</v>
      </c>
      <c r="AF385" s="150">
        <f t="shared" si="64"/>
        <v>0</v>
      </c>
    </row>
    <row r="386" spans="1:32" x14ac:dyDescent="0.25">
      <c r="A386" s="315" t="s">
        <v>524</v>
      </c>
      <c r="B386" s="315" t="s">
        <v>1253</v>
      </c>
      <c r="C386" s="169" t="str">
        <f t="shared" si="57"/>
        <v>A</v>
      </c>
      <c r="D386" s="146" t="str">
        <f t="shared" si="58"/>
        <v>1</v>
      </c>
      <c r="E386" s="147" t="s">
        <v>440</v>
      </c>
      <c r="F386" s="147" t="s">
        <v>319</v>
      </c>
      <c r="G386" s="147" t="s">
        <v>327</v>
      </c>
      <c r="H386" s="148" t="s">
        <v>279</v>
      </c>
      <c r="I386" s="316">
        <v>1050417</v>
      </c>
      <c r="J386" s="170">
        <f t="shared" si="59"/>
        <v>0</v>
      </c>
      <c r="K386" s="168" t="str">
        <f t="shared" si="60"/>
        <v xml:space="preserve"> </v>
      </c>
      <c r="L386" s="147"/>
      <c r="M386" s="147">
        <f>I386</f>
        <v>1050417</v>
      </c>
      <c r="N386" s="147"/>
      <c r="O386" s="147"/>
      <c r="P386" s="147"/>
      <c r="Q386" s="147"/>
      <c r="R386" s="147"/>
      <c r="S386" s="147"/>
      <c r="T386" s="147"/>
      <c r="U386" s="147"/>
      <c r="V386" s="147"/>
      <c r="W386" s="147"/>
      <c r="X386" s="147"/>
      <c r="Y386" s="147"/>
      <c r="Z386" s="147"/>
      <c r="AA386" s="147"/>
      <c r="AB386" s="147"/>
      <c r="AC386" s="147"/>
      <c r="AD386" s="132">
        <f t="shared" si="56"/>
        <v>1050417</v>
      </c>
      <c r="AE386" s="132">
        <f t="shared" si="63"/>
        <v>1050417</v>
      </c>
      <c r="AF386" s="150">
        <f t="shared" si="64"/>
        <v>0</v>
      </c>
    </row>
    <row r="387" spans="1:32" x14ac:dyDescent="0.25">
      <c r="A387" s="315" t="s">
        <v>1153</v>
      </c>
      <c r="B387" s="315" t="s">
        <v>1116</v>
      </c>
      <c r="C387" s="169" t="str">
        <f t="shared" si="57"/>
        <v>A</v>
      </c>
      <c r="D387" s="146" t="str">
        <f t="shared" si="58"/>
        <v>1</v>
      </c>
      <c r="E387" s="147" t="s">
        <v>440</v>
      </c>
      <c r="F387" s="147" t="s">
        <v>319</v>
      </c>
      <c r="G387" s="147" t="s">
        <v>327</v>
      </c>
      <c r="H387" s="148" t="s">
        <v>279</v>
      </c>
      <c r="I387" s="316">
        <v>424814</v>
      </c>
      <c r="J387" s="170">
        <f t="shared" si="59"/>
        <v>0</v>
      </c>
      <c r="K387" s="168" t="str">
        <f t="shared" si="60"/>
        <v xml:space="preserve"> </v>
      </c>
      <c r="L387" s="147"/>
      <c r="M387" s="147">
        <f>I387</f>
        <v>424814</v>
      </c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  <c r="AA387" s="147"/>
      <c r="AB387" s="147"/>
      <c r="AC387" s="147"/>
      <c r="AD387" s="132">
        <f t="shared" si="56"/>
        <v>424814</v>
      </c>
      <c r="AE387" s="132">
        <f t="shared" si="63"/>
        <v>424814</v>
      </c>
      <c r="AF387" s="150">
        <f t="shared" si="64"/>
        <v>0</v>
      </c>
    </row>
    <row r="388" spans="1:32" x14ac:dyDescent="0.25">
      <c r="A388" s="315" t="s">
        <v>1398</v>
      </c>
      <c r="B388" s="315" t="s">
        <v>1685</v>
      </c>
      <c r="C388" s="169" t="str">
        <f t="shared" si="57"/>
        <v>A</v>
      </c>
      <c r="D388" s="146" t="str">
        <f t="shared" si="58"/>
        <v>1</v>
      </c>
      <c r="E388" s="147" t="s">
        <v>440</v>
      </c>
      <c r="F388" s="147" t="s">
        <v>319</v>
      </c>
      <c r="G388" s="147" t="s">
        <v>327</v>
      </c>
      <c r="H388" s="148" t="s">
        <v>279</v>
      </c>
      <c r="I388" s="316">
        <v>65000</v>
      </c>
      <c r="J388" s="170">
        <f t="shared" si="59"/>
        <v>0</v>
      </c>
      <c r="K388" s="168" t="str">
        <f t="shared" si="60"/>
        <v xml:space="preserve"> </v>
      </c>
      <c r="L388" s="147"/>
      <c r="M388" s="147">
        <f>I388</f>
        <v>65000</v>
      </c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  <c r="AA388" s="147"/>
      <c r="AB388" s="147"/>
      <c r="AC388" s="147"/>
      <c r="AD388" s="132">
        <f t="shared" si="56"/>
        <v>65000</v>
      </c>
      <c r="AE388" s="132">
        <f t="shared" si="63"/>
        <v>65000</v>
      </c>
      <c r="AF388" s="150">
        <f t="shared" si="64"/>
        <v>0</v>
      </c>
    </row>
    <row r="389" spans="1:32" x14ac:dyDescent="0.25">
      <c r="A389" s="315" t="s">
        <v>599</v>
      </c>
      <c r="B389" s="315" t="s">
        <v>1127</v>
      </c>
      <c r="C389" s="169" t="str">
        <f t="shared" si="57"/>
        <v>A</v>
      </c>
      <c r="D389" s="146" t="str">
        <f t="shared" si="58"/>
        <v>1</v>
      </c>
      <c r="E389" s="147" t="s">
        <v>440</v>
      </c>
      <c r="F389" s="147" t="s">
        <v>319</v>
      </c>
      <c r="G389" s="147" t="s">
        <v>327</v>
      </c>
      <c r="H389" s="148" t="s">
        <v>279</v>
      </c>
      <c r="I389" s="316">
        <v>523866</v>
      </c>
      <c r="J389" s="170">
        <f t="shared" si="59"/>
        <v>0</v>
      </c>
      <c r="K389" s="168" t="str">
        <f t="shared" si="60"/>
        <v xml:space="preserve"> </v>
      </c>
      <c r="L389" s="147"/>
      <c r="M389" s="147"/>
      <c r="N389" s="147">
        <f>I389</f>
        <v>523866</v>
      </c>
      <c r="O389" s="147"/>
      <c r="P389" s="147"/>
      <c r="Q389" s="147"/>
      <c r="R389" s="147"/>
      <c r="S389" s="147"/>
      <c r="T389" s="147"/>
      <c r="U389" s="147"/>
      <c r="V389" s="147"/>
      <c r="W389" s="147"/>
      <c r="X389" s="147"/>
      <c r="Y389" s="147"/>
      <c r="Z389" s="147"/>
      <c r="AA389" s="147"/>
      <c r="AB389" s="147"/>
      <c r="AC389" s="147"/>
      <c r="AD389" s="132">
        <f t="shared" si="56"/>
        <v>523866</v>
      </c>
      <c r="AE389" s="132">
        <f t="shared" si="63"/>
        <v>523866</v>
      </c>
      <c r="AF389" s="150">
        <f t="shared" si="64"/>
        <v>0</v>
      </c>
    </row>
    <row r="390" spans="1:32" x14ac:dyDescent="0.25">
      <c r="A390" s="315" t="s">
        <v>518</v>
      </c>
      <c r="B390" s="315" t="s">
        <v>1098</v>
      </c>
      <c r="C390" s="169" t="str">
        <f t="shared" si="57"/>
        <v>A</v>
      </c>
      <c r="D390" s="146" t="str">
        <f t="shared" si="58"/>
        <v>1</v>
      </c>
      <c r="E390" s="147" t="s">
        <v>440</v>
      </c>
      <c r="F390" s="147" t="s">
        <v>319</v>
      </c>
      <c r="G390" s="147" t="s">
        <v>327</v>
      </c>
      <c r="H390" s="148" t="s">
        <v>279</v>
      </c>
      <c r="I390" s="316">
        <v>337300</v>
      </c>
      <c r="J390" s="170">
        <f t="shared" si="59"/>
        <v>0</v>
      </c>
      <c r="K390" s="168" t="str">
        <f t="shared" si="60"/>
        <v xml:space="preserve"> </v>
      </c>
      <c r="L390" s="147"/>
      <c r="M390" s="147"/>
      <c r="N390" s="147">
        <f>I390</f>
        <v>337300</v>
      </c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147"/>
      <c r="AC390" s="147"/>
      <c r="AD390" s="132">
        <f t="shared" si="56"/>
        <v>337300</v>
      </c>
      <c r="AE390" s="132">
        <f t="shared" si="63"/>
        <v>337300</v>
      </c>
      <c r="AF390" s="150">
        <f t="shared" si="64"/>
        <v>0</v>
      </c>
    </row>
    <row r="391" spans="1:32" x14ac:dyDescent="0.25">
      <c r="A391" s="315" t="s">
        <v>877</v>
      </c>
      <c r="B391" s="315" t="s">
        <v>841</v>
      </c>
      <c r="C391" s="314" t="str">
        <f t="shared" si="57"/>
        <v>A</v>
      </c>
      <c r="D391" s="146" t="str">
        <f t="shared" si="58"/>
        <v>1</v>
      </c>
      <c r="E391" s="147" t="s">
        <v>440</v>
      </c>
      <c r="F391" s="147" t="s">
        <v>319</v>
      </c>
      <c r="G391" s="147" t="s">
        <v>327</v>
      </c>
      <c r="H391" s="148" t="s">
        <v>279</v>
      </c>
      <c r="I391" s="316">
        <v>30000</v>
      </c>
      <c r="J391" s="170">
        <f t="shared" si="59"/>
        <v>0</v>
      </c>
      <c r="K391" s="168" t="str">
        <f t="shared" si="60"/>
        <v xml:space="preserve"> </v>
      </c>
      <c r="L391" s="147"/>
      <c r="M391" s="147"/>
      <c r="N391" s="147">
        <f>I391</f>
        <v>30000</v>
      </c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  <c r="AA391" s="147"/>
      <c r="AB391" s="147"/>
      <c r="AC391" s="147"/>
      <c r="AD391" s="132">
        <f t="shared" ref="AD391:AD454" si="68">SUM(L391:AC391)</f>
        <v>30000</v>
      </c>
      <c r="AE391" s="132">
        <f t="shared" ref="AE391:AE454" si="69">SUM(J391,K391,AD391)</f>
        <v>30000</v>
      </c>
      <c r="AF391" s="150">
        <f t="shared" ref="AF391:AF454" si="70">+I391-AE391</f>
        <v>0</v>
      </c>
    </row>
    <row r="392" spans="1:32" x14ac:dyDescent="0.25">
      <c r="A392" s="315" t="s">
        <v>1613</v>
      </c>
      <c r="B392" s="315" t="s">
        <v>1405</v>
      </c>
      <c r="C392" s="314" t="str">
        <f t="shared" ref="C392:C455" si="71">CONCATENATE(MID(A392,1,1))</f>
        <v>A</v>
      </c>
      <c r="D392" s="146" t="str">
        <f t="shared" ref="D392:D455" si="72">CONCATENATE(MID(A392,8,1))</f>
        <v>1</v>
      </c>
      <c r="E392" s="147" t="s">
        <v>440</v>
      </c>
      <c r="F392" s="147" t="s">
        <v>319</v>
      </c>
      <c r="G392" s="147" t="s">
        <v>327</v>
      </c>
      <c r="H392" s="148" t="s">
        <v>279</v>
      </c>
      <c r="I392" s="316">
        <v>714418</v>
      </c>
      <c r="J392" s="170">
        <f t="shared" ref="J392:J455" si="73">IF(D392="8",I392,0)</f>
        <v>0</v>
      </c>
      <c r="K392" s="168" t="str">
        <f t="shared" ref="K392:K455" si="74">IF(E392&lt;&gt;"S",IF(D392&lt;&gt;"8",I392,"")," ")</f>
        <v xml:space="preserve"> </v>
      </c>
      <c r="L392" s="147"/>
      <c r="M392" s="147"/>
      <c r="N392" s="147"/>
      <c r="O392" s="147">
        <f>I392</f>
        <v>714418</v>
      </c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  <c r="AA392" s="147"/>
      <c r="AB392" s="147"/>
      <c r="AC392" s="147"/>
      <c r="AD392" s="132">
        <f t="shared" si="68"/>
        <v>714418</v>
      </c>
      <c r="AE392" s="132">
        <f t="shared" si="69"/>
        <v>714418</v>
      </c>
      <c r="AF392" s="150">
        <f t="shared" si="70"/>
        <v>0</v>
      </c>
    </row>
    <row r="393" spans="1:32" x14ac:dyDescent="0.25">
      <c r="A393" s="315" t="s">
        <v>501</v>
      </c>
      <c r="B393" s="315" t="s">
        <v>732</v>
      </c>
      <c r="C393" s="314" t="str">
        <f t="shared" si="71"/>
        <v>A</v>
      </c>
      <c r="D393" s="146" t="str">
        <f t="shared" si="72"/>
        <v>1</v>
      </c>
      <c r="E393" s="147" t="s">
        <v>440</v>
      </c>
      <c r="F393" s="147" t="s">
        <v>319</v>
      </c>
      <c r="G393" s="147" t="s">
        <v>327</v>
      </c>
      <c r="H393" s="148" t="s">
        <v>279</v>
      </c>
      <c r="I393" s="316">
        <v>358578</v>
      </c>
      <c r="J393" s="170">
        <f t="shared" si="73"/>
        <v>0</v>
      </c>
      <c r="K393" s="168" t="str">
        <f t="shared" si="74"/>
        <v xml:space="preserve"> </v>
      </c>
      <c r="L393" s="147"/>
      <c r="M393" s="147"/>
      <c r="N393" s="147"/>
      <c r="O393" s="147">
        <f>I393</f>
        <v>358578</v>
      </c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  <c r="AA393" s="147"/>
      <c r="AB393" s="147"/>
      <c r="AC393" s="147"/>
      <c r="AD393" s="132">
        <f t="shared" si="68"/>
        <v>358578</v>
      </c>
      <c r="AE393" s="132">
        <f t="shared" si="69"/>
        <v>358578</v>
      </c>
      <c r="AF393" s="150">
        <f t="shared" si="70"/>
        <v>0</v>
      </c>
    </row>
    <row r="394" spans="1:32" x14ac:dyDescent="0.25">
      <c r="A394" s="315" t="s">
        <v>593</v>
      </c>
      <c r="B394" s="315" t="s">
        <v>1422</v>
      </c>
      <c r="C394" s="314" t="str">
        <f t="shared" si="71"/>
        <v>A</v>
      </c>
      <c r="D394" s="146" t="str">
        <f t="shared" si="72"/>
        <v>1</v>
      </c>
      <c r="E394" s="147" t="s">
        <v>440</v>
      </c>
      <c r="F394" s="147" t="s">
        <v>319</v>
      </c>
      <c r="G394" s="147" t="s">
        <v>327</v>
      </c>
      <c r="H394" s="148" t="s">
        <v>279</v>
      </c>
      <c r="I394" s="316">
        <v>30000</v>
      </c>
      <c r="J394" s="170">
        <f t="shared" si="73"/>
        <v>0</v>
      </c>
      <c r="K394" s="168" t="str">
        <f t="shared" si="74"/>
        <v xml:space="preserve"> </v>
      </c>
      <c r="L394" s="147"/>
      <c r="M394" s="147"/>
      <c r="N394" s="147"/>
      <c r="O394" s="147">
        <f>I394</f>
        <v>30000</v>
      </c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  <c r="AA394" s="147"/>
      <c r="AB394" s="147"/>
      <c r="AC394" s="147"/>
      <c r="AD394" s="132">
        <f t="shared" si="68"/>
        <v>30000</v>
      </c>
      <c r="AE394" s="132">
        <f t="shared" si="69"/>
        <v>30000</v>
      </c>
      <c r="AF394" s="150">
        <f t="shared" si="70"/>
        <v>0</v>
      </c>
    </row>
    <row r="395" spans="1:32" x14ac:dyDescent="0.25">
      <c r="A395" s="315" t="s">
        <v>1386</v>
      </c>
      <c r="B395" s="315" t="s">
        <v>918</v>
      </c>
      <c r="C395" s="314" t="str">
        <f t="shared" si="71"/>
        <v>A</v>
      </c>
      <c r="D395" s="146" t="str">
        <f t="shared" si="72"/>
        <v>1</v>
      </c>
      <c r="E395" s="147" t="s">
        <v>440</v>
      </c>
      <c r="F395" s="147" t="s">
        <v>319</v>
      </c>
      <c r="G395" s="147" t="s">
        <v>327</v>
      </c>
      <c r="H395" s="148" t="s">
        <v>279</v>
      </c>
      <c r="I395" s="316">
        <v>803156</v>
      </c>
      <c r="J395" s="170">
        <f t="shared" si="73"/>
        <v>0</v>
      </c>
      <c r="K395" s="168" t="str">
        <f t="shared" si="74"/>
        <v xml:space="preserve"> </v>
      </c>
      <c r="L395" s="147"/>
      <c r="M395" s="147"/>
      <c r="N395" s="147"/>
      <c r="O395" s="147"/>
      <c r="P395" s="147">
        <f>I395</f>
        <v>803156</v>
      </c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  <c r="AA395" s="147"/>
      <c r="AB395" s="147"/>
      <c r="AC395" s="147"/>
      <c r="AD395" s="132">
        <f t="shared" si="68"/>
        <v>803156</v>
      </c>
      <c r="AE395" s="132">
        <f t="shared" si="69"/>
        <v>803156</v>
      </c>
      <c r="AF395" s="150">
        <f t="shared" si="70"/>
        <v>0</v>
      </c>
    </row>
    <row r="396" spans="1:32" x14ac:dyDescent="0.25">
      <c r="A396" s="315" t="s">
        <v>522</v>
      </c>
      <c r="B396" s="315" t="s">
        <v>1248</v>
      </c>
      <c r="C396" s="314" t="str">
        <f t="shared" si="71"/>
        <v>A</v>
      </c>
      <c r="D396" s="146" t="str">
        <f t="shared" si="72"/>
        <v>1</v>
      </c>
      <c r="E396" s="147" t="s">
        <v>440</v>
      </c>
      <c r="F396" s="147" t="s">
        <v>319</v>
      </c>
      <c r="G396" s="147" t="s">
        <v>327</v>
      </c>
      <c r="H396" s="148" t="s">
        <v>279</v>
      </c>
      <c r="I396" s="316">
        <v>325093</v>
      </c>
      <c r="J396" s="170">
        <f t="shared" si="73"/>
        <v>0</v>
      </c>
      <c r="K396" s="168" t="str">
        <f t="shared" si="74"/>
        <v xml:space="preserve"> </v>
      </c>
      <c r="L396" s="147"/>
      <c r="M396" s="147"/>
      <c r="N396" s="147"/>
      <c r="O396" s="147"/>
      <c r="P396" s="147">
        <f>I396</f>
        <v>325093</v>
      </c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  <c r="AB396" s="147"/>
      <c r="AC396" s="147"/>
      <c r="AD396" s="132">
        <f t="shared" si="68"/>
        <v>325093</v>
      </c>
      <c r="AE396" s="132">
        <f t="shared" si="69"/>
        <v>325093</v>
      </c>
      <c r="AF396" s="150">
        <f t="shared" si="70"/>
        <v>0</v>
      </c>
    </row>
    <row r="397" spans="1:32" x14ac:dyDescent="0.25">
      <c r="A397" s="315" t="s">
        <v>1629</v>
      </c>
      <c r="B397" s="315" t="s">
        <v>945</v>
      </c>
      <c r="C397" s="314" t="str">
        <f t="shared" si="71"/>
        <v>A</v>
      </c>
      <c r="D397" s="146" t="str">
        <f t="shared" si="72"/>
        <v>1</v>
      </c>
      <c r="E397" s="147" t="s">
        <v>440</v>
      </c>
      <c r="F397" s="147" t="s">
        <v>319</v>
      </c>
      <c r="G397" s="147" t="s">
        <v>327</v>
      </c>
      <c r="H397" s="148" t="s">
        <v>279</v>
      </c>
      <c r="I397" s="316">
        <v>30000</v>
      </c>
      <c r="J397" s="170">
        <f t="shared" si="73"/>
        <v>0</v>
      </c>
      <c r="K397" s="168" t="str">
        <f t="shared" si="74"/>
        <v xml:space="preserve"> </v>
      </c>
      <c r="L397" s="147"/>
      <c r="M397" s="147"/>
      <c r="N397" s="147"/>
      <c r="O397" s="147"/>
      <c r="P397" s="147">
        <f>I397</f>
        <v>30000</v>
      </c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32">
        <f t="shared" si="68"/>
        <v>30000</v>
      </c>
      <c r="AE397" s="132">
        <f t="shared" si="69"/>
        <v>30000</v>
      </c>
      <c r="AF397" s="150">
        <f t="shared" si="70"/>
        <v>0</v>
      </c>
    </row>
    <row r="398" spans="1:32" x14ac:dyDescent="0.25">
      <c r="A398" s="315" t="s">
        <v>796</v>
      </c>
      <c r="B398" s="315" t="s">
        <v>1226</v>
      </c>
      <c r="C398" s="314" t="str">
        <f t="shared" si="71"/>
        <v>A</v>
      </c>
      <c r="D398" s="146" t="str">
        <f t="shared" si="72"/>
        <v>1</v>
      </c>
      <c r="E398" s="147" t="s">
        <v>440</v>
      </c>
      <c r="F398" s="147" t="s">
        <v>319</v>
      </c>
      <c r="G398" s="147" t="s">
        <v>327</v>
      </c>
      <c r="H398" s="148" t="s">
        <v>279</v>
      </c>
      <c r="I398" s="316">
        <v>0</v>
      </c>
      <c r="J398" s="170">
        <f t="shared" si="73"/>
        <v>0</v>
      </c>
      <c r="K398" s="168" t="str">
        <f t="shared" si="74"/>
        <v xml:space="preserve"> </v>
      </c>
      <c r="L398" s="147">
        <f>I398</f>
        <v>0</v>
      </c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32">
        <f t="shared" si="68"/>
        <v>0</v>
      </c>
      <c r="AE398" s="132">
        <f t="shared" si="69"/>
        <v>0</v>
      </c>
      <c r="AF398" s="150">
        <f t="shared" si="70"/>
        <v>0</v>
      </c>
    </row>
    <row r="399" spans="1:32" x14ac:dyDescent="0.25">
      <c r="A399" s="315" t="s">
        <v>1535</v>
      </c>
      <c r="B399" s="315" t="s">
        <v>1306</v>
      </c>
      <c r="C399" s="314" t="str">
        <f t="shared" si="71"/>
        <v>A</v>
      </c>
      <c r="D399" s="146" t="str">
        <f t="shared" si="72"/>
        <v>1</v>
      </c>
      <c r="E399" s="147" t="s">
        <v>440</v>
      </c>
      <c r="F399" s="147" t="s">
        <v>319</v>
      </c>
      <c r="G399" s="147" t="s">
        <v>327</v>
      </c>
      <c r="H399" s="148" t="s">
        <v>279</v>
      </c>
      <c r="I399" s="316">
        <v>7000</v>
      </c>
      <c r="J399" s="170">
        <f t="shared" si="73"/>
        <v>0</v>
      </c>
      <c r="K399" s="168" t="str">
        <f t="shared" si="74"/>
        <v xml:space="preserve"> </v>
      </c>
      <c r="L399" s="147">
        <f>I399</f>
        <v>7000</v>
      </c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32">
        <f t="shared" si="68"/>
        <v>7000</v>
      </c>
      <c r="AE399" s="132">
        <f t="shared" si="69"/>
        <v>7000</v>
      </c>
      <c r="AF399" s="150">
        <f t="shared" si="70"/>
        <v>0</v>
      </c>
    </row>
    <row r="400" spans="1:32" x14ac:dyDescent="0.25">
      <c r="A400" s="315" t="s">
        <v>806</v>
      </c>
      <c r="B400" s="315" t="s">
        <v>1626</v>
      </c>
      <c r="C400" s="314" t="str">
        <f t="shared" si="71"/>
        <v>A</v>
      </c>
      <c r="D400" s="146" t="str">
        <f t="shared" si="72"/>
        <v>1</v>
      </c>
      <c r="E400" s="147" t="s">
        <v>440</v>
      </c>
      <c r="F400" s="147" t="s">
        <v>319</v>
      </c>
      <c r="G400" s="147" t="s">
        <v>327</v>
      </c>
      <c r="H400" s="148" t="s">
        <v>279</v>
      </c>
      <c r="I400" s="316">
        <v>4000</v>
      </c>
      <c r="J400" s="170">
        <f t="shared" si="73"/>
        <v>0</v>
      </c>
      <c r="K400" s="168" t="str">
        <f t="shared" si="74"/>
        <v xml:space="preserve"> </v>
      </c>
      <c r="L400" s="147"/>
      <c r="M400" s="147">
        <f>I400</f>
        <v>4000</v>
      </c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32">
        <f t="shared" si="68"/>
        <v>4000</v>
      </c>
      <c r="AE400" s="132">
        <f t="shared" si="69"/>
        <v>4000</v>
      </c>
      <c r="AF400" s="150">
        <f t="shared" si="70"/>
        <v>0</v>
      </c>
    </row>
    <row r="401" spans="1:32" x14ac:dyDescent="0.25">
      <c r="A401" s="315" t="s">
        <v>1657</v>
      </c>
      <c r="B401" s="315" t="s">
        <v>1168</v>
      </c>
      <c r="C401" s="314" t="str">
        <f t="shared" si="71"/>
        <v>A</v>
      </c>
      <c r="D401" s="146" t="str">
        <f t="shared" si="72"/>
        <v>1</v>
      </c>
      <c r="E401" s="147" t="s">
        <v>440</v>
      </c>
      <c r="F401" s="147" t="s">
        <v>319</v>
      </c>
      <c r="G401" s="147" t="s">
        <v>327</v>
      </c>
      <c r="H401" s="148" t="s">
        <v>279</v>
      </c>
      <c r="I401" s="316">
        <v>3000</v>
      </c>
      <c r="J401" s="170">
        <f t="shared" si="73"/>
        <v>0</v>
      </c>
      <c r="K401" s="168" t="str">
        <f t="shared" si="74"/>
        <v xml:space="preserve"> </v>
      </c>
      <c r="L401" s="147"/>
      <c r="M401" s="147"/>
      <c r="N401" s="147">
        <f>I401</f>
        <v>3000</v>
      </c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32">
        <f t="shared" si="68"/>
        <v>3000</v>
      </c>
      <c r="AE401" s="132">
        <f t="shared" si="69"/>
        <v>3000</v>
      </c>
      <c r="AF401" s="150">
        <f t="shared" si="70"/>
        <v>0</v>
      </c>
    </row>
    <row r="402" spans="1:32" x14ac:dyDescent="0.25">
      <c r="A402" s="315" t="s">
        <v>606</v>
      </c>
      <c r="B402" s="315" t="s">
        <v>544</v>
      </c>
      <c r="C402" s="314" t="str">
        <f t="shared" si="71"/>
        <v>A</v>
      </c>
      <c r="D402" s="146" t="str">
        <f t="shared" si="72"/>
        <v>1</v>
      </c>
      <c r="E402" s="147" t="s">
        <v>440</v>
      </c>
      <c r="F402" s="147" t="s">
        <v>319</v>
      </c>
      <c r="G402" s="147" t="s">
        <v>327</v>
      </c>
      <c r="H402" s="148" t="s">
        <v>279</v>
      </c>
      <c r="I402" s="316">
        <v>3000</v>
      </c>
      <c r="J402" s="170">
        <f t="shared" si="73"/>
        <v>0</v>
      </c>
      <c r="K402" s="168" t="str">
        <f t="shared" si="74"/>
        <v xml:space="preserve"> </v>
      </c>
      <c r="L402" s="147"/>
      <c r="M402" s="147"/>
      <c r="N402" s="147"/>
      <c r="O402" s="147">
        <f>I402</f>
        <v>3000</v>
      </c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32">
        <f t="shared" si="68"/>
        <v>3000</v>
      </c>
      <c r="AE402" s="132">
        <f t="shared" si="69"/>
        <v>3000</v>
      </c>
      <c r="AF402" s="150">
        <f t="shared" si="70"/>
        <v>0</v>
      </c>
    </row>
    <row r="403" spans="1:32" x14ac:dyDescent="0.25">
      <c r="A403" s="315" t="s">
        <v>1577</v>
      </c>
      <c r="B403" s="315" t="s">
        <v>1115</v>
      </c>
      <c r="C403" s="314" t="str">
        <f t="shared" si="71"/>
        <v>A</v>
      </c>
      <c r="D403" s="146" t="str">
        <f t="shared" si="72"/>
        <v>1</v>
      </c>
      <c r="E403" s="147" t="s">
        <v>440</v>
      </c>
      <c r="F403" s="147" t="s">
        <v>319</v>
      </c>
      <c r="G403" s="147" t="s">
        <v>327</v>
      </c>
      <c r="H403" s="148" t="s">
        <v>279</v>
      </c>
      <c r="I403" s="316">
        <v>3000</v>
      </c>
      <c r="J403" s="170">
        <f t="shared" si="73"/>
        <v>0</v>
      </c>
      <c r="K403" s="168" t="str">
        <f t="shared" si="74"/>
        <v xml:space="preserve"> </v>
      </c>
      <c r="L403" s="147"/>
      <c r="M403" s="147"/>
      <c r="N403" s="147"/>
      <c r="O403" s="147"/>
      <c r="P403" s="147">
        <f>I403</f>
        <v>3000</v>
      </c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32">
        <f t="shared" si="68"/>
        <v>3000</v>
      </c>
      <c r="AE403" s="132">
        <f t="shared" si="69"/>
        <v>3000</v>
      </c>
      <c r="AF403" s="150">
        <f t="shared" si="70"/>
        <v>0</v>
      </c>
    </row>
    <row r="404" spans="1:32" x14ac:dyDescent="0.25">
      <c r="A404" s="315" t="s">
        <v>964</v>
      </c>
      <c r="B404" s="315" t="s">
        <v>1394</v>
      </c>
      <c r="C404" s="314" t="str">
        <f t="shared" si="71"/>
        <v>A</v>
      </c>
      <c r="D404" s="146" t="str">
        <f t="shared" si="72"/>
        <v>1</v>
      </c>
      <c r="E404" s="147" t="s">
        <v>440</v>
      </c>
      <c r="F404" s="147" t="s">
        <v>319</v>
      </c>
      <c r="G404" s="147" t="s">
        <v>327</v>
      </c>
      <c r="H404" s="148" t="s">
        <v>279</v>
      </c>
      <c r="I404" s="316">
        <v>10000</v>
      </c>
      <c r="J404" s="170">
        <f t="shared" si="73"/>
        <v>0</v>
      </c>
      <c r="K404" s="168" t="str">
        <f t="shared" si="74"/>
        <v xml:space="preserve"> </v>
      </c>
      <c r="L404" s="147">
        <f>(L4/$Q$4)*$I$404</f>
        <v>3416.6214014122761</v>
      </c>
      <c r="M404" s="147">
        <f t="shared" ref="M404:P404" si="75">(M4/$Q$4)*$I$404</f>
        <v>2455.1873981531776</v>
      </c>
      <c r="N404" s="147">
        <f t="shared" si="75"/>
        <v>1238.4573601303641</v>
      </c>
      <c r="O404" s="147">
        <f t="shared" si="75"/>
        <v>1399.6016657613616</v>
      </c>
      <c r="P404" s="147">
        <f t="shared" si="75"/>
        <v>1490.1321745428208</v>
      </c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32">
        <f t="shared" si="68"/>
        <v>10000</v>
      </c>
      <c r="AE404" s="132">
        <f t="shared" si="69"/>
        <v>10000</v>
      </c>
      <c r="AF404" s="150">
        <f t="shared" si="70"/>
        <v>0</v>
      </c>
    </row>
    <row r="405" spans="1:32" x14ac:dyDescent="0.25">
      <c r="A405" s="315" t="s">
        <v>1652</v>
      </c>
      <c r="B405" s="315" t="s">
        <v>758</v>
      </c>
      <c r="C405" s="314" t="str">
        <f t="shared" si="71"/>
        <v>A</v>
      </c>
      <c r="D405" s="146" t="str">
        <f t="shared" si="72"/>
        <v>1</v>
      </c>
      <c r="E405" s="147" t="s">
        <v>258</v>
      </c>
      <c r="F405" s="147"/>
      <c r="G405" s="147"/>
      <c r="H405" s="148" t="s">
        <v>279</v>
      </c>
      <c r="I405" s="316">
        <v>242609</v>
      </c>
      <c r="J405" s="170">
        <f t="shared" si="73"/>
        <v>0</v>
      </c>
      <c r="K405" s="320">
        <f t="shared" si="74"/>
        <v>242609</v>
      </c>
      <c r="L405" s="147"/>
      <c r="M405" s="147"/>
      <c r="N405" s="147"/>
      <c r="O405" s="147"/>
      <c r="P405" s="147"/>
      <c r="Q405" s="147"/>
      <c r="R405" s="147"/>
      <c r="S405" s="147"/>
      <c r="T405" s="147"/>
      <c r="U405" s="147"/>
      <c r="V405" s="147"/>
      <c r="W405" s="147"/>
      <c r="X405" s="147"/>
      <c r="Y405" s="147"/>
      <c r="Z405" s="147"/>
      <c r="AA405" s="147"/>
      <c r="AB405" s="147"/>
      <c r="AC405" s="147"/>
      <c r="AD405" s="132">
        <f t="shared" si="68"/>
        <v>0</v>
      </c>
      <c r="AE405" s="132">
        <f t="shared" si="69"/>
        <v>242609</v>
      </c>
      <c r="AF405" s="150">
        <f t="shared" si="70"/>
        <v>0</v>
      </c>
    </row>
    <row r="406" spans="1:32" x14ac:dyDescent="0.25">
      <c r="A406" s="315" t="s">
        <v>1691</v>
      </c>
      <c r="B406" s="315" t="s">
        <v>936</v>
      </c>
      <c r="C406" s="314" t="str">
        <f t="shared" si="71"/>
        <v>A</v>
      </c>
      <c r="D406" s="146" t="str">
        <f t="shared" si="72"/>
        <v>1</v>
      </c>
      <c r="E406" s="147" t="s">
        <v>440</v>
      </c>
      <c r="F406" s="147" t="s">
        <v>319</v>
      </c>
      <c r="G406" s="147" t="s">
        <v>327</v>
      </c>
      <c r="H406" s="148" t="s">
        <v>279</v>
      </c>
      <c r="I406" s="316">
        <v>215000</v>
      </c>
      <c r="J406" s="170">
        <f t="shared" si="73"/>
        <v>0</v>
      </c>
      <c r="K406" s="320" t="str">
        <f t="shared" si="74"/>
        <v xml:space="preserve"> </v>
      </c>
      <c r="L406" s="147">
        <f>$I$406*L7</f>
        <v>70142.342931937179</v>
      </c>
      <c r="M406" s="147">
        <f t="shared" ref="M406:P406" si="76">$I$406*M7</f>
        <v>50654.450261780104</v>
      </c>
      <c r="N406" s="147">
        <f t="shared" si="76"/>
        <v>30181.609947643981</v>
      </c>
      <c r="O406" s="147">
        <f t="shared" si="76"/>
        <v>30885.143979057593</v>
      </c>
      <c r="P406" s="147">
        <f t="shared" si="76"/>
        <v>33136.452879581157</v>
      </c>
      <c r="Q406" s="147"/>
      <c r="R406" s="147"/>
      <c r="S406" s="147"/>
      <c r="T406" s="147"/>
      <c r="U406" s="147"/>
      <c r="V406" s="147"/>
      <c r="W406" s="147"/>
      <c r="X406" s="147"/>
      <c r="Y406" s="147"/>
      <c r="Z406" s="147"/>
      <c r="AA406" s="147"/>
      <c r="AB406" s="147"/>
      <c r="AC406" s="147"/>
      <c r="AD406" s="132">
        <f t="shared" si="68"/>
        <v>215000</v>
      </c>
      <c r="AE406" s="132">
        <f t="shared" si="69"/>
        <v>215000</v>
      </c>
      <c r="AF406" s="150">
        <f t="shared" si="70"/>
        <v>0</v>
      </c>
    </row>
    <row r="407" spans="1:32" x14ac:dyDescent="0.25">
      <c r="A407" s="315" t="s">
        <v>1154</v>
      </c>
      <c r="B407" s="315" t="s">
        <v>1252</v>
      </c>
      <c r="C407" s="314" t="str">
        <f t="shared" si="71"/>
        <v>A</v>
      </c>
      <c r="D407" s="146" t="str">
        <f t="shared" si="72"/>
        <v>1</v>
      </c>
      <c r="E407" s="147" t="s">
        <v>258</v>
      </c>
      <c r="F407" s="147"/>
      <c r="G407" s="147"/>
      <c r="H407" s="148" t="s">
        <v>279</v>
      </c>
      <c r="I407" s="316">
        <v>100962</v>
      </c>
      <c r="J407" s="170">
        <f t="shared" si="73"/>
        <v>0</v>
      </c>
      <c r="K407" s="320">
        <f t="shared" si="74"/>
        <v>100962</v>
      </c>
      <c r="L407" s="147"/>
      <c r="M407" s="147"/>
      <c r="N407" s="147"/>
      <c r="O407" s="147"/>
      <c r="P407" s="147"/>
      <c r="Q407" s="147"/>
      <c r="R407" s="147"/>
      <c r="S407" s="147"/>
      <c r="T407" s="147"/>
      <c r="U407" s="147"/>
      <c r="V407" s="147"/>
      <c r="W407" s="147"/>
      <c r="X407" s="147"/>
      <c r="Y407" s="147"/>
      <c r="Z407" s="147"/>
      <c r="AA407" s="147"/>
      <c r="AB407" s="147"/>
      <c r="AC407" s="147"/>
      <c r="AD407" s="132">
        <f t="shared" si="68"/>
        <v>0</v>
      </c>
      <c r="AE407" s="132">
        <f t="shared" si="69"/>
        <v>100962</v>
      </c>
      <c r="AF407" s="150">
        <f t="shared" si="70"/>
        <v>0</v>
      </c>
    </row>
    <row r="408" spans="1:32" x14ac:dyDescent="0.25">
      <c r="A408" s="315" t="s">
        <v>1451</v>
      </c>
      <c r="B408" s="315" t="s">
        <v>707</v>
      </c>
      <c r="C408" s="314" t="str">
        <f t="shared" si="71"/>
        <v>A</v>
      </c>
      <c r="D408" s="146" t="str">
        <f t="shared" si="72"/>
        <v>1</v>
      </c>
      <c r="E408" s="147" t="s">
        <v>258</v>
      </c>
      <c r="F408" s="147"/>
      <c r="G408" s="147"/>
      <c r="H408" s="148" t="s">
        <v>279</v>
      </c>
      <c r="I408" s="316">
        <v>30000</v>
      </c>
      <c r="J408" s="170">
        <f t="shared" si="73"/>
        <v>0</v>
      </c>
      <c r="K408" s="320">
        <f t="shared" si="74"/>
        <v>30000</v>
      </c>
      <c r="L408" s="147"/>
      <c r="M408" s="147"/>
      <c r="N408" s="147"/>
      <c r="O408" s="147"/>
      <c r="P408" s="147"/>
      <c r="Q408" s="147"/>
      <c r="R408" s="147"/>
      <c r="S408" s="147"/>
      <c r="T408" s="147"/>
      <c r="U408" s="147"/>
      <c r="V408" s="147"/>
      <c r="W408" s="147"/>
      <c r="X408" s="147"/>
      <c r="Y408" s="147"/>
      <c r="Z408" s="147"/>
      <c r="AA408" s="147"/>
      <c r="AB408" s="147"/>
      <c r="AC408" s="147"/>
      <c r="AD408" s="132">
        <f t="shared" si="68"/>
        <v>0</v>
      </c>
      <c r="AE408" s="132">
        <f t="shared" si="69"/>
        <v>30000</v>
      </c>
      <c r="AF408" s="150">
        <f t="shared" si="70"/>
        <v>0</v>
      </c>
    </row>
    <row r="409" spans="1:32" x14ac:dyDescent="0.25">
      <c r="A409" s="315" t="s">
        <v>734</v>
      </c>
      <c r="B409" s="315" t="s">
        <v>604</v>
      </c>
      <c r="C409" s="314" t="str">
        <f t="shared" si="71"/>
        <v>A</v>
      </c>
      <c r="D409" s="146" t="str">
        <f t="shared" si="72"/>
        <v>2</v>
      </c>
      <c r="E409" s="147" t="s">
        <v>440</v>
      </c>
      <c r="F409" s="147" t="s">
        <v>323</v>
      </c>
      <c r="G409" s="147" t="s">
        <v>327</v>
      </c>
      <c r="H409" s="148" t="s">
        <v>279</v>
      </c>
      <c r="I409" s="316">
        <v>8000</v>
      </c>
      <c r="J409" s="170">
        <f t="shared" si="73"/>
        <v>0</v>
      </c>
      <c r="K409" s="168" t="str">
        <f t="shared" si="74"/>
        <v xml:space="preserve"> </v>
      </c>
      <c r="L409" s="147">
        <f>$I$409*L7</f>
        <v>2609.9476439790578</v>
      </c>
      <c r="M409" s="147">
        <f t="shared" ref="M409:P409" si="77">$I$409*M7</f>
        <v>1884.8167539267015</v>
      </c>
      <c r="N409" s="147">
        <f t="shared" si="77"/>
        <v>1123.0366492146597</v>
      </c>
      <c r="O409" s="147">
        <f t="shared" si="77"/>
        <v>1149.2146596858638</v>
      </c>
      <c r="P409" s="147">
        <f t="shared" si="77"/>
        <v>1232.9842931937173</v>
      </c>
      <c r="Q409" s="147"/>
      <c r="R409" s="147"/>
      <c r="S409" s="147"/>
      <c r="T409" s="147"/>
      <c r="U409" s="147"/>
      <c r="V409" s="147"/>
      <c r="W409" s="147"/>
      <c r="X409" s="147"/>
      <c r="Y409" s="147"/>
      <c r="Z409" s="147"/>
      <c r="AA409" s="147"/>
      <c r="AB409" s="147"/>
      <c r="AC409" s="147"/>
      <c r="AD409" s="132">
        <f t="shared" si="68"/>
        <v>8000</v>
      </c>
      <c r="AE409" s="132">
        <f t="shared" si="69"/>
        <v>8000</v>
      </c>
      <c r="AF409" s="150">
        <f t="shared" si="70"/>
        <v>0</v>
      </c>
    </row>
    <row r="410" spans="1:32" x14ac:dyDescent="0.25">
      <c r="A410" s="315" t="s">
        <v>1510</v>
      </c>
      <c r="B410" s="315" t="s">
        <v>1050</v>
      </c>
      <c r="C410" s="314" t="str">
        <f t="shared" si="71"/>
        <v>A</v>
      </c>
      <c r="D410" s="146" t="str">
        <f t="shared" si="72"/>
        <v>2</v>
      </c>
      <c r="E410" s="147" t="s">
        <v>440</v>
      </c>
      <c r="F410" s="147" t="s">
        <v>323</v>
      </c>
      <c r="G410" s="147" t="s">
        <v>327</v>
      </c>
      <c r="H410" s="148" t="s">
        <v>279</v>
      </c>
      <c r="I410" s="316">
        <v>5600</v>
      </c>
      <c r="J410" s="170">
        <f t="shared" si="73"/>
        <v>0</v>
      </c>
      <c r="K410" s="168" t="str">
        <f t="shared" si="74"/>
        <v xml:space="preserve"> </v>
      </c>
      <c r="L410" s="147">
        <f>$I$410*L7</f>
        <v>1826.9633507853403</v>
      </c>
      <c r="M410" s="147">
        <f t="shared" ref="M410:P410" si="78">$I$410*M7</f>
        <v>1319.371727748691</v>
      </c>
      <c r="N410" s="147">
        <f t="shared" si="78"/>
        <v>786.12565445026178</v>
      </c>
      <c r="O410" s="147">
        <f t="shared" si="78"/>
        <v>804.45026178010471</v>
      </c>
      <c r="P410" s="147">
        <f t="shared" si="78"/>
        <v>863.08900523560214</v>
      </c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  <c r="AA410" s="147"/>
      <c r="AB410" s="147"/>
      <c r="AC410" s="147"/>
      <c r="AD410" s="132">
        <f t="shared" si="68"/>
        <v>5600</v>
      </c>
      <c r="AE410" s="132">
        <f t="shared" si="69"/>
        <v>5600</v>
      </c>
      <c r="AF410" s="150">
        <f t="shared" si="70"/>
        <v>0</v>
      </c>
    </row>
    <row r="411" spans="1:32" x14ac:dyDescent="0.25">
      <c r="A411" s="315" t="s">
        <v>1351</v>
      </c>
      <c r="B411" s="315" t="s">
        <v>883</v>
      </c>
      <c r="C411" s="314" t="str">
        <f t="shared" si="71"/>
        <v>A</v>
      </c>
      <c r="D411" s="146" t="str">
        <f t="shared" si="72"/>
        <v>4</v>
      </c>
      <c r="E411" s="147" t="s">
        <v>440</v>
      </c>
      <c r="F411" s="147" t="s">
        <v>323</v>
      </c>
      <c r="G411" s="147" t="s">
        <v>327</v>
      </c>
      <c r="H411" s="148" t="s">
        <v>279</v>
      </c>
      <c r="I411" s="316">
        <v>60000</v>
      </c>
      <c r="J411" s="170">
        <f t="shared" si="73"/>
        <v>0</v>
      </c>
      <c r="K411" s="168" t="str">
        <f t="shared" si="74"/>
        <v xml:space="preserve"> </v>
      </c>
      <c r="L411" s="147">
        <f>$I$411*L7</f>
        <v>19574.607329842933</v>
      </c>
      <c r="M411" s="147">
        <f t="shared" ref="M411:P411" si="79">$I$411*M7</f>
        <v>14136.125654450261</v>
      </c>
      <c r="N411" s="147">
        <f t="shared" si="79"/>
        <v>8422.7748691099478</v>
      </c>
      <c r="O411" s="147">
        <f t="shared" si="79"/>
        <v>8619.1099476439795</v>
      </c>
      <c r="P411" s="147">
        <f t="shared" si="79"/>
        <v>9247.3821989528806</v>
      </c>
      <c r="Q411" s="147"/>
      <c r="R411" s="147"/>
      <c r="S411" s="147"/>
      <c r="T411" s="147"/>
      <c r="U411" s="147"/>
      <c r="V411" s="147"/>
      <c r="W411" s="147"/>
      <c r="X411" s="147"/>
      <c r="Y411" s="147"/>
      <c r="Z411" s="147"/>
      <c r="AA411" s="147"/>
      <c r="AB411" s="147"/>
      <c r="AC411" s="147"/>
      <c r="AD411" s="132">
        <f t="shared" si="68"/>
        <v>60000</v>
      </c>
      <c r="AE411" s="132">
        <f t="shared" si="69"/>
        <v>60000</v>
      </c>
      <c r="AF411" s="150">
        <f t="shared" si="70"/>
        <v>0</v>
      </c>
    </row>
    <row r="412" spans="1:32" x14ac:dyDescent="0.25">
      <c r="A412" s="315" t="s">
        <v>1715</v>
      </c>
      <c r="B412" s="315" t="s">
        <v>1529</v>
      </c>
      <c r="C412" s="314" t="str">
        <f t="shared" si="71"/>
        <v>A</v>
      </c>
      <c r="D412" s="146" t="str">
        <f t="shared" si="72"/>
        <v>4</v>
      </c>
      <c r="E412" s="147" t="s">
        <v>440</v>
      </c>
      <c r="F412" s="147" t="s">
        <v>323</v>
      </c>
      <c r="G412" s="147" t="s">
        <v>327</v>
      </c>
      <c r="H412" s="148" t="s">
        <v>279</v>
      </c>
      <c r="I412" s="316">
        <v>2000</v>
      </c>
      <c r="J412" s="170">
        <f t="shared" si="73"/>
        <v>0</v>
      </c>
      <c r="K412" s="168" t="str">
        <f t="shared" si="74"/>
        <v xml:space="preserve"> </v>
      </c>
      <c r="L412" s="147">
        <f>$I$412*L7</f>
        <v>652.48691099476446</v>
      </c>
      <c r="M412" s="147">
        <f t="shared" ref="M412:P412" si="80">$I$412*M7</f>
        <v>471.20418848167537</v>
      </c>
      <c r="N412" s="147">
        <f t="shared" si="80"/>
        <v>280.75916230366494</v>
      </c>
      <c r="O412" s="147">
        <f t="shared" si="80"/>
        <v>287.30366492146595</v>
      </c>
      <c r="P412" s="147">
        <f t="shared" si="80"/>
        <v>308.24607329842934</v>
      </c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  <c r="AA412" s="147"/>
      <c r="AB412" s="147"/>
      <c r="AC412" s="147"/>
      <c r="AD412" s="132">
        <f t="shared" si="68"/>
        <v>2000</v>
      </c>
      <c r="AE412" s="132">
        <f t="shared" si="69"/>
        <v>2000</v>
      </c>
      <c r="AF412" s="150">
        <f t="shared" si="70"/>
        <v>0</v>
      </c>
    </row>
    <row r="413" spans="1:32" x14ac:dyDescent="0.25">
      <c r="A413" s="315" t="s">
        <v>941</v>
      </c>
      <c r="B413" s="315" t="s">
        <v>679</v>
      </c>
      <c r="C413" s="314" t="str">
        <f t="shared" si="71"/>
        <v>A</v>
      </c>
      <c r="D413" s="146" t="str">
        <f t="shared" si="72"/>
        <v>4</v>
      </c>
      <c r="E413" s="147" t="s">
        <v>440</v>
      </c>
      <c r="F413" s="147" t="s">
        <v>323</v>
      </c>
      <c r="G413" s="147" t="s">
        <v>327</v>
      </c>
      <c r="H413" s="148" t="s">
        <v>279</v>
      </c>
      <c r="I413" s="316">
        <v>3600</v>
      </c>
      <c r="J413" s="170">
        <f t="shared" si="73"/>
        <v>0</v>
      </c>
      <c r="K413" s="168" t="str">
        <f t="shared" si="74"/>
        <v xml:space="preserve"> </v>
      </c>
      <c r="L413" s="147">
        <f>$I$413*L7</f>
        <v>1174.476439790576</v>
      </c>
      <c r="M413" s="147">
        <f t="shared" ref="M413:P413" si="81">$I$413*M7</f>
        <v>848.16753926701574</v>
      </c>
      <c r="N413" s="147">
        <f t="shared" si="81"/>
        <v>505.3664921465969</v>
      </c>
      <c r="O413" s="147">
        <f t="shared" si="81"/>
        <v>517.14659685863876</v>
      </c>
      <c r="P413" s="147">
        <f t="shared" si="81"/>
        <v>554.84293193717281</v>
      </c>
      <c r="Q413" s="147"/>
      <c r="R413" s="147"/>
      <c r="S413" s="147"/>
      <c r="T413" s="147"/>
      <c r="U413" s="147"/>
      <c r="V413" s="147"/>
      <c r="W413" s="147"/>
      <c r="X413" s="147"/>
      <c r="Y413" s="147"/>
      <c r="Z413" s="147"/>
      <c r="AA413" s="147"/>
      <c r="AB413" s="147"/>
      <c r="AC413" s="147"/>
      <c r="AD413" s="132">
        <f t="shared" si="68"/>
        <v>3600</v>
      </c>
      <c r="AE413" s="132">
        <f t="shared" si="69"/>
        <v>3600</v>
      </c>
      <c r="AF413" s="150">
        <f t="shared" si="70"/>
        <v>0</v>
      </c>
    </row>
    <row r="414" spans="1:32" x14ac:dyDescent="0.25">
      <c r="A414" s="315" t="s">
        <v>1339</v>
      </c>
      <c r="B414" s="315" t="s">
        <v>1594</v>
      </c>
      <c r="C414" s="314" t="str">
        <f t="shared" si="71"/>
        <v>A</v>
      </c>
      <c r="D414" s="146" t="str">
        <f t="shared" si="72"/>
        <v>4</v>
      </c>
      <c r="E414" s="147" t="s">
        <v>440</v>
      </c>
      <c r="F414" s="147" t="s">
        <v>323</v>
      </c>
      <c r="G414" s="147" t="s">
        <v>327</v>
      </c>
      <c r="H414" s="148" t="s">
        <v>279</v>
      </c>
      <c r="I414" s="316">
        <v>0</v>
      </c>
      <c r="J414" s="170">
        <f t="shared" si="73"/>
        <v>0</v>
      </c>
      <c r="K414" s="168" t="str">
        <f t="shared" si="74"/>
        <v xml:space="preserve"> </v>
      </c>
      <c r="L414" s="147">
        <f>I414</f>
        <v>0</v>
      </c>
      <c r="M414" s="147"/>
      <c r="N414" s="147"/>
      <c r="O414" s="147"/>
      <c r="P414" s="147"/>
      <c r="Q414" s="147"/>
      <c r="R414" s="147"/>
      <c r="S414" s="147"/>
      <c r="T414" s="147"/>
      <c r="U414" s="147"/>
      <c r="V414" s="147"/>
      <c r="W414" s="147"/>
      <c r="X414" s="147"/>
      <c r="Y414" s="147"/>
      <c r="Z414" s="147"/>
      <c r="AA414" s="147"/>
      <c r="AB414" s="147"/>
      <c r="AC414" s="147"/>
      <c r="AD414" s="132">
        <f t="shared" si="68"/>
        <v>0</v>
      </c>
      <c r="AE414" s="132">
        <f t="shared" si="69"/>
        <v>0</v>
      </c>
      <c r="AF414" s="150">
        <f t="shared" si="70"/>
        <v>0</v>
      </c>
    </row>
    <row r="415" spans="1:32" x14ac:dyDescent="0.25">
      <c r="A415" s="315" t="s">
        <v>1130</v>
      </c>
      <c r="B415" s="315" t="s">
        <v>1364</v>
      </c>
      <c r="C415" s="314" t="str">
        <f t="shared" si="71"/>
        <v>A</v>
      </c>
      <c r="D415" s="146" t="str">
        <f t="shared" si="72"/>
        <v>4</v>
      </c>
      <c r="E415" s="147" t="s">
        <v>440</v>
      </c>
      <c r="F415" s="147" t="s">
        <v>323</v>
      </c>
      <c r="G415" s="147" t="s">
        <v>327</v>
      </c>
      <c r="H415" s="148" t="s">
        <v>279</v>
      </c>
      <c r="I415" s="316">
        <v>1600</v>
      </c>
      <c r="J415" s="170">
        <f t="shared" si="73"/>
        <v>0</v>
      </c>
      <c r="K415" s="168" t="str">
        <f t="shared" si="74"/>
        <v xml:space="preserve"> </v>
      </c>
      <c r="L415" s="147">
        <f>I415</f>
        <v>1600</v>
      </c>
      <c r="M415" s="147"/>
      <c r="N415" s="147"/>
      <c r="O415" s="147"/>
      <c r="P415" s="147"/>
      <c r="Q415" s="147"/>
      <c r="R415" s="147"/>
      <c r="S415" s="147"/>
      <c r="T415" s="147"/>
      <c r="U415" s="147"/>
      <c r="V415" s="147"/>
      <c r="W415" s="147"/>
      <c r="X415" s="147"/>
      <c r="Y415" s="147"/>
      <c r="Z415" s="147"/>
      <c r="AA415" s="147"/>
      <c r="AB415" s="147"/>
      <c r="AC415" s="147"/>
      <c r="AD415" s="132">
        <f t="shared" si="68"/>
        <v>1600</v>
      </c>
      <c r="AE415" s="132">
        <f t="shared" si="69"/>
        <v>1600</v>
      </c>
      <c r="AF415" s="150">
        <f t="shared" si="70"/>
        <v>0</v>
      </c>
    </row>
    <row r="416" spans="1:32" x14ac:dyDescent="0.25">
      <c r="A416" s="315" t="s">
        <v>1605</v>
      </c>
      <c r="B416" s="315" t="s">
        <v>495</v>
      </c>
      <c r="C416" s="314" t="str">
        <f t="shared" si="71"/>
        <v>A</v>
      </c>
      <c r="D416" s="146" t="str">
        <f t="shared" si="72"/>
        <v>4</v>
      </c>
      <c r="E416" s="147" t="s">
        <v>440</v>
      </c>
      <c r="F416" s="147" t="s">
        <v>323</v>
      </c>
      <c r="G416" s="147" t="s">
        <v>327</v>
      </c>
      <c r="H416" s="148" t="s">
        <v>279</v>
      </c>
      <c r="I416" s="316">
        <v>0</v>
      </c>
      <c r="J416" s="170">
        <f t="shared" si="73"/>
        <v>0</v>
      </c>
      <c r="K416" s="168" t="str">
        <f t="shared" si="74"/>
        <v xml:space="preserve"> </v>
      </c>
      <c r="L416" s="147"/>
      <c r="M416" s="147">
        <f>I416</f>
        <v>0</v>
      </c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  <c r="AA416" s="147"/>
      <c r="AB416" s="147"/>
      <c r="AC416" s="147"/>
      <c r="AD416" s="132">
        <f t="shared" si="68"/>
        <v>0</v>
      </c>
      <c r="AE416" s="132">
        <f t="shared" si="69"/>
        <v>0</v>
      </c>
      <c r="AF416" s="150">
        <f t="shared" si="70"/>
        <v>0</v>
      </c>
    </row>
    <row r="417" spans="1:32" x14ac:dyDescent="0.25">
      <c r="A417" s="315" t="s">
        <v>475</v>
      </c>
      <c r="B417" s="315" t="s">
        <v>1668</v>
      </c>
      <c r="C417" s="314" t="str">
        <f t="shared" si="71"/>
        <v>A</v>
      </c>
      <c r="D417" s="146" t="str">
        <f t="shared" si="72"/>
        <v>4</v>
      </c>
      <c r="E417" s="147" t="s">
        <v>440</v>
      </c>
      <c r="F417" s="147" t="s">
        <v>323</v>
      </c>
      <c r="G417" s="147" t="s">
        <v>327</v>
      </c>
      <c r="H417" s="148" t="s">
        <v>279</v>
      </c>
      <c r="I417" s="316">
        <v>400</v>
      </c>
      <c r="J417" s="170">
        <f t="shared" si="73"/>
        <v>0</v>
      </c>
      <c r="K417" s="168" t="str">
        <f t="shared" si="74"/>
        <v xml:space="preserve"> </v>
      </c>
      <c r="L417" s="147"/>
      <c r="M417" s="147">
        <f>I417</f>
        <v>400</v>
      </c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  <c r="AD417" s="132">
        <f t="shared" si="68"/>
        <v>400</v>
      </c>
      <c r="AE417" s="132">
        <f t="shared" si="69"/>
        <v>400</v>
      </c>
      <c r="AF417" s="150">
        <f t="shared" si="70"/>
        <v>0</v>
      </c>
    </row>
    <row r="418" spans="1:32" x14ac:dyDescent="0.25">
      <c r="A418" s="315" t="s">
        <v>1392</v>
      </c>
      <c r="B418" s="315" t="s">
        <v>1456</v>
      </c>
      <c r="C418" s="314" t="str">
        <f t="shared" si="71"/>
        <v>A</v>
      </c>
      <c r="D418" s="146" t="str">
        <f t="shared" si="72"/>
        <v>4</v>
      </c>
      <c r="E418" s="147" t="s">
        <v>440</v>
      </c>
      <c r="F418" s="147" t="s">
        <v>323</v>
      </c>
      <c r="G418" s="147" t="s">
        <v>327</v>
      </c>
      <c r="H418" s="148" t="s">
        <v>279</v>
      </c>
      <c r="I418" s="316">
        <v>0</v>
      </c>
      <c r="J418" s="170">
        <f t="shared" si="73"/>
        <v>0</v>
      </c>
      <c r="K418" s="168" t="str">
        <f t="shared" si="74"/>
        <v xml:space="preserve"> </v>
      </c>
      <c r="L418" s="147"/>
      <c r="M418" s="147"/>
      <c r="N418" s="147">
        <f>I418</f>
        <v>0</v>
      </c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32">
        <f t="shared" si="68"/>
        <v>0</v>
      </c>
      <c r="AE418" s="132">
        <f t="shared" si="69"/>
        <v>0</v>
      </c>
      <c r="AF418" s="150">
        <f t="shared" si="70"/>
        <v>0</v>
      </c>
    </row>
    <row r="419" spans="1:32" x14ac:dyDescent="0.25">
      <c r="A419" s="315" t="s">
        <v>701</v>
      </c>
      <c r="B419" s="315" t="s">
        <v>816</v>
      </c>
      <c r="C419" s="314" t="str">
        <f t="shared" si="71"/>
        <v>A</v>
      </c>
      <c r="D419" s="146" t="str">
        <f t="shared" si="72"/>
        <v>4</v>
      </c>
      <c r="E419" s="147" t="s">
        <v>440</v>
      </c>
      <c r="F419" s="147" t="s">
        <v>323</v>
      </c>
      <c r="G419" s="147" t="s">
        <v>327</v>
      </c>
      <c r="H419" s="148" t="s">
        <v>279</v>
      </c>
      <c r="I419" s="316">
        <v>0</v>
      </c>
      <c r="J419" s="170">
        <f t="shared" si="73"/>
        <v>0</v>
      </c>
      <c r="K419" s="168" t="str">
        <f t="shared" si="74"/>
        <v xml:space="preserve"> </v>
      </c>
      <c r="L419" s="147"/>
      <c r="M419" s="147"/>
      <c r="N419" s="147"/>
      <c r="O419" s="147">
        <f>I419</f>
        <v>0</v>
      </c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  <c r="AA419" s="147"/>
      <c r="AB419" s="147"/>
      <c r="AC419" s="147"/>
      <c r="AD419" s="132">
        <f t="shared" si="68"/>
        <v>0</v>
      </c>
      <c r="AE419" s="132">
        <f t="shared" si="69"/>
        <v>0</v>
      </c>
      <c r="AF419" s="150">
        <f t="shared" si="70"/>
        <v>0</v>
      </c>
    </row>
    <row r="420" spans="1:32" x14ac:dyDescent="0.25">
      <c r="A420" s="315" t="s">
        <v>1218</v>
      </c>
      <c r="B420" s="315" t="s">
        <v>1077</v>
      </c>
      <c r="C420" s="314" t="str">
        <f t="shared" si="71"/>
        <v>A</v>
      </c>
      <c r="D420" s="146" t="str">
        <f t="shared" si="72"/>
        <v>4</v>
      </c>
      <c r="E420" s="147" t="s">
        <v>440</v>
      </c>
      <c r="F420" s="147" t="s">
        <v>323</v>
      </c>
      <c r="G420" s="147" t="s">
        <v>327</v>
      </c>
      <c r="H420" s="148" t="s">
        <v>279</v>
      </c>
      <c r="I420" s="316">
        <v>0</v>
      </c>
      <c r="J420" s="170">
        <f t="shared" si="73"/>
        <v>0</v>
      </c>
      <c r="K420" s="168" t="str">
        <f t="shared" si="74"/>
        <v xml:space="preserve"> </v>
      </c>
      <c r="L420" s="147"/>
      <c r="M420" s="147"/>
      <c r="N420" s="147"/>
      <c r="O420" s="147"/>
      <c r="P420" s="147">
        <f>I420</f>
        <v>0</v>
      </c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32">
        <f t="shared" si="68"/>
        <v>0</v>
      </c>
      <c r="AE420" s="132">
        <f t="shared" si="69"/>
        <v>0</v>
      </c>
      <c r="AF420" s="150">
        <f t="shared" si="70"/>
        <v>0</v>
      </c>
    </row>
    <row r="421" spans="1:32" x14ac:dyDescent="0.25">
      <c r="A421" s="315" t="s">
        <v>1061</v>
      </c>
      <c r="B421" s="315" t="s">
        <v>1000</v>
      </c>
      <c r="C421" s="314" t="str">
        <f t="shared" si="71"/>
        <v>A</v>
      </c>
      <c r="D421" s="146" t="str">
        <f t="shared" si="72"/>
        <v>4</v>
      </c>
      <c r="E421" s="147" t="s">
        <v>440</v>
      </c>
      <c r="F421" s="147" t="s">
        <v>323</v>
      </c>
      <c r="G421" s="147" t="s">
        <v>327</v>
      </c>
      <c r="H421" s="148" t="s">
        <v>279</v>
      </c>
      <c r="I421" s="316">
        <v>28000</v>
      </c>
      <c r="J421" s="170">
        <f t="shared" si="73"/>
        <v>0</v>
      </c>
      <c r="K421" s="168" t="str">
        <f t="shared" si="74"/>
        <v xml:space="preserve"> </v>
      </c>
      <c r="L421" s="147">
        <f>$I$421*L7</f>
        <v>9134.8167539267015</v>
      </c>
      <c r="M421" s="147">
        <f t="shared" ref="M421:P421" si="82">$I$421*M7</f>
        <v>6596.8586387434552</v>
      </c>
      <c r="N421" s="147">
        <f t="shared" si="82"/>
        <v>3930.6282722513092</v>
      </c>
      <c r="O421" s="147">
        <f t="shared" si="82"/>
        <v>4022.2513089005238</v>
      </c>
      <c r="P421" s="147">
        <f t="shared" si="82"/>
        <v>4315.4450261780112</v>
      </c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32">
        <f t="shared" si="68"/>
        <v>28000</v>
      </c>
      <c r="AE421" s="132">
        <f t="shared" si="69"/>
        <v>28000</v>
      </c>
      <c r="AF421" s="150">
        <f t="shared" si="70"/>
        <v>0</v>
      </c>
    </row>
    <row r="422" spans="1:32" x14ac:dyDescent="0.25">
      <c r="A422" s="315" t="s">
        <v>1516</v>
      </c>
      <c r="B422" s="315" t="s">
        <v>697</v>
      </c>
      <c r="C422" s="314" t="str">
        <f t="shared" si="71"/>
        <v>A</v>
      </c>
      <c r="D422" s="146" t="str">
        <f t="shared" si="72"/>
        <v>4</v>
      </c>
      <c r="E422" s="147" t="s">
        <v>440</v>
      </c>
      <c r="F422" s="147" t="s">
        <v>323</v>
      </c>
      <c r="G422" s="147" t="s">
        <v>327</v>
      </c>
      <c r="H422" s="148" t="s">
        <v>279</v>
      </c>
      <c r="I422" s="316">
        <v>9200</v>
      </c>
      <c r="J422" s="170">
        <f t="shared" si="73"/>
        <v>0</v>
      </c>
      <c r="K422" s="168" t="str">
        <f t="shared" si="74"/>
        <v xml:space="preserve"> </v>
      </c>
      <c r="L422" s="147">
        <f>$I$422*L7</f>
        <v>3001.4397905759165</v>
      </c>
      <c r="M422" s="147">
        <f t="shared" ref="M422:P422" si="83">$I$422*M7</f>
        <v>2167.5392670157066</v>
      </c>
      <c r="N422" s="147">
        <f t="shared" si="83"/>
        <v>1291.4921465968587</v>
      </c>
      <c r="O422" s="147">
        <f t="shared" si="83"/>
        <v>1321.5968586387435</v>
      </c>
      <c r="P422" s="147">
        <f t="shared" si="83"/>
        <v>1417.931937172775</v>
      </c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32">
        <f t="shared" si="68"/>
        <v>9200</v>
      </c>
      <c r="AE422" s="132">
        <f t="shared" si="69"/>
        <v>9200</v>
      </c>
      <c r="AF422" s="150">
        <f t="shared" si="70"/>
        <v>0</v>
      </c>
    </row>
    <row r="423" spans="1:32" x14ac:dyDescent="0.25">
      <c r="A423" s="315" t="s">
        <v>1073</v>
      </c>
      <c r="B423" s="315" t="s">
        <v>558</v>
      </c>
      <c r="C423" s="314" t="str">
        <f t="shared" si="71"/>
        <v>A</v>
      </c>
      <c r="D423" s="146" t="str">
        <f t="shared" si="72"/>
        <v>4</v>
      </c>
      <c r="E423" s="147" t="s">
        <v>10</v>
      </c>
      <c r="F423" s="147"/>
      <c r="G423" s="147"/>
      <c r="H423" s="148" t="s">
        <v>279</v>
      </c>
      <c r="I423" s="316">
        <v>375000</v>
      </c>
      <c r="J423" s="170">
        <f t="shared" si="73"/>
        <v>0</v>
      </c>
      <c r="K423" s="168">
        <f t="shared" si="74"/>
        <v>375000</v>
      </c>
      <c r="L423" s="147"/>
      <c r="M423" s="147"/>
      <c r="N423" s="147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32">
        <f t="shared" si="68"/>
        <v>0</v>
      </c>
      <c r="AE423" s="132">
        <f t="shared" si="69"/>
        <v>375000</v>
      </c>
      <c r="AF423" s="150">
        <f t="shared" si="70"/>
        <v>0</v>
      </c>
    </row>
    <row r="424" spans="1:32" x14ac:dyDescent="0.25">
      <c r="A424" s="315" t="s">
        <v>624</v>
      </c>
      <c r="B424" s="315" t="s">
        <v>1645</v>
      </c>
      <c r="C424" s="314" t="str">
        <f t="shared" si="71"/>
        <v>A</v>
      </c>
      <c r="D424" s="146" t="str">
        <f t="shared" si="72"/>
        <v>4</v>
      </c>
      <c r="E424" s="147" t="s">
        <v>246</v>
      </c>
      <c r="F424" s="147"/>
      <c r="G424" s="147"/>
      <c r="H424" s="148" t="s">
        <v>279</v>
      </c>
      <c r="I424" s="316">
        <v>1200000</v>
      </c>
      <c r="J424" s="170">
        <f t="shared" si="73"/>
        <v>0</v>
      </c>
      <c r="K424" s="168">
        <f t="shared" si="74"/>
        <v>1200000</v>
      </c>
      <c r="L424" s="147"/>
      <c r="M424" s="147"/>
      <c r="N424" s="147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32">
        <f t="shared" si="68"/>
        <v>0</v>
      </c>
      <c r="AE424" s="132">
        <f t="shared" si="69"/>
        <v>1200000</v>
      </c>
      <c r="AF424" s="150">
        <f t="shared" si="70"/>
        <v>0</v>
      </c>
    </row>
    <row r="425" spans="1:32" x14ac:dyDescent="0.25">
      <c r="A425" s="319" t="s">
        <v>966</v>
      </c>
      <c r="B425" s="315" t="s">
        <v>888</v>
      </c>
      <c r="C425" s="314" t="str">
        <f t="shared" si="71"/>
        <v>A</v>
      </c>
      <c r="D425" s="146" t="str">
        <f t="shared" si="72"/>
        <v>4</v>
      </c>
      <c r="E425" s="318" t="s">
        <v>245</v>
      </c>
      <c r="F425" s="147"/>
      <c r="G425" s="147"/>
      <c r="H425" s="148" t="s">
        <v>279</v>
      </c>
      <c r="I425" s="316">
        <v>1199384</v>
      </c>
      <c r="J425" s="170">
        <f t="shared" si="73"/>
        <v>0</v>
      </c>
      <c r="K425" s="168">
        <f t="shared" si="74"/>
        <v>1199384</v>
      </c>
      <c r="L425" s="147"/>
      <c r="M425" s="147"/>
      <c r="N425" s="147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32">
        <f t="shared" si="68"/>
        <v>0</v>
      </c>
      <c r="AE425" s="132">
        <f t="shared" si="69"/>
        <v>1199384</v>
      </c>
      <c r="AF425" s="150">
        <f t="shared" si="70"/>
        <v>0</v>
      </c>
    </row>
    <row r="426" spans="1:32" x14ac:dyDescent="0.25">
      <c r="A426" s="315" t="s">
        <v>1121</v>
      </c>
      <c r="B426" s="315" t="s">
        <v>737</v>
      </c>
      <c r="C426" s="314" t="str">
        <f t="shared" si="71"/>
        <v>A</v>
      </c>
      <c r="D426" s="146" t="str">
        <f t="shared" si="72"/>
        <v>1</v>
      </c>
      <c r="E426" s="147" t="s">
        <v>440</v>
      </c>
      <c r="F426" s="147" t="s">
        <v>319</v>
      </c>
      <c r="G426" s="147" t="s">
        <v>325</v>
      </c>
      <c r="H426" s="148" t="s">
        <v>279</v>
      </c>
      <c r="I426" s="316">
        <v>228573</v>
      </c>
      <c r="J426" s="170">
        <f t="shared" si="73"/>
        <v>0</v>
      </c>
      <c r="K426" s="168" t="str">
        <f t="shared" si="74"/>
        <v xml:space="preserve"> </v>
      </c>
      <c r="L426" s="147"/>
      <c r="M426" s="147"/>
      <c r="N426" s="147">
        <f>I426</f>
        <v>228573</v>
      </c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32">
        <f t="shared" si="68"/>
        <v>228573</v>
      </c>
      <c r="AE426" s="132">
        <f t="shared" si="69"/>
        <v>228573</v>
      </c>
      <c r="AF426" s="150">
        <f t="shared" si="70"/>
        <v>0</v>
      </c>
    </row>
    <row r="427" spans="1:32" x14ac:dyDescent="0.25">
      <c r="A427" s="315" t="s">
        <v>965</v>
      </c>
      <c r="B427" s="315" t="s">
        <v>1642</v>
      </c>
      <c r="C427" s="314" t="str">
        <f t="shared" si="71"/>
        <v>A</v>
      </c>
      <c r="D427" s="146" t="str">
        <f t="shared" si="72"/>
        <v>1</v>
      </c>
      <c r="E427" s="147" t="s">
        <v>440</v>
      </c>
      <c r="F427" s="147" t="s">
        <v>319</v>
      </c>
      <c r="G427" s="147" t="s">
        <v>325</v>
      </c>
      <c r="H427" s="148" t="s">
        <v>279</v>
      </c>
      <c r="I427" s="316">
        <v>204497</v>
      </c>
      <c r="J427" s="170">
        <f t="shared" si="73"/>
        <v>0</v>
      </c>
      <c r="K427" s="168" t="str">
        <f t="shared" si="74"/>
        <v xml:space="preserve"> </v>
      </c>
      <c r="L427" s="147"/>
      <c r="M427" s="147"/>
      <c r="N427" s="147"/>
      <c r="O427" s="147">
        <f>I427</f>
        <v>204497</v>
      </c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32">
        <f t="shared" si="68"/>
        <v>204497</v>
      </c>
      <c r="AE427" s="132">
        <f t="shared" si="69"/>
        <v>204497</v>
      </c>
      <c r="AF427" s="150">
        <f t="shared" si="70"/>
        <v>0</v>
      </c>
    </row>
    <row r="428" spans="1:32" x14ac:dyDescent="0.25">
      <c r="A428" s="315" t="s">
        <v>1487</v>
      </c>
      <c r="B428" s="315" t="s">
        <v>549</v>
      </c>
      <c r="C428" s="314" t="str">
        <f t="shared" si="71"/>
        <v>A</v>
      </c>
      <c r="D428" s="146" t="str">
        <f t="shared" si="72"/>
        <v>1</v>
      </c>
      <c r="E428" s="147" t="s">
        <v>440</v>
      </c>
      <c r="F428" s="147" t="s">
        <v>319</v>
      </c>
      <c r="G428" s="147" t="s">
        <v>325</v>
      </c>
      <c r="H428" s="148" t="s">
        <v>279</v>
      </c>
      <c r="I428" s="316">
        <v>152846</v>
      </c>
      <c r="J428" s="170">
        <f t="shared" si="73"/>
        <v>0</v>
      </c>
      <c r="K428" s="168" t="str">
        <f t="shared" si="74"/>
        <v xml:space="preserve"> </v>
      </c>
      <c r="L428" s="147"/>
      <c r="M428" s="147"/>
      <c r="N428" s="147"/>
      <c r="O428" s="147"/>
      <c r="P428" s="147">
        <f>I428</f>
        <v>152846</v>
      </c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32">
        <f t="shared" si="68"/>
        <v>152846</v>
      </c>
      <c r="AE428" s="132">
        <f t="shared" si="69"/>
        <v>152846</v>
      </c>
      <c r="AF428" s="150">
        <f t="shared" si="70"/>
        <v>0</v>
      </c>
    </row>
    <row r="429" spans="1:32" x14ac:dyDescent="0.25">
      <c r="A429" s="315" t="s">
        <v>1442</v>
      </c>
      <c r="B429" s="315" t="s">
        <v>1273</v>
      </c>
      <c r="C429" s="314" t="str">
        <f t="shared" si="71"/>
        <v>A</v>
      </c>
      <c r="D429" s="146" t="str">
        <f t="shared" si="72"/>
        <v>4</v>
      </c>
      <c r="E429" s="147" t="s">
        <v>440</v>
      </c>
      <c r="F429" s="147" t="s">
        <v>323</v>
      </c>
      <c r="G429" s="147" t="s">
        <v>325</v>
      </c>
      <c r="H429" s="148" t="s">
        <v>279</v>
      </c>
      <c r="I429" s="316">
        <v>200</v>
      </c>
      <c r="J429" s="170">
        <f t="shared" si="73"/>
        <v>0</v>
      </c>
      <c r="K429" s="168" t="str">
        <f t="shared" si="74"/>
        <v xml:space="preserve"> </v>
      </c>
      <c r="L429" s="147"/>
      <c r="M429" s="147">
        <f>I429</f>
        <v>200</v>
      </c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32">
        <f t="shared" si="68"/>
        <v>200</v>
      </c>
      <c r="AE429" s="132">
        <f t="shared" si="69"/>
        <v>200</v>
      </c>
      <c r="AF429" s="150">
        <f t="shared" si="70"/>
        <v>0</v>
      </c>
    </row>
    <row r="430" spans="1:32" x14ac:dyDescent="0.25">
      <c r="A430" s="315" t="s">
        <v>814</v>
      </c>
      <c r="B430" s="315" t="s">
        <v>548</v>
      </c>
      <c r="C430" s="314" t="str">
        <f t="shared" si="71"/>
        <v>A</v>
      </c>
      <c r="D430" s="146" t="str">
        <f t="shared" si="72"/>
        <v>4</v>
      </c>
      <c r="E430" s="147" t="s">
        <v>440</v>
      </c>
      <c r="F430" s="147" t="s">
        <v>323</v>
      </c>
      <c r="G430" s="147" t="s">
        <v>325</v>
      </c>
      <c r="H430" s="148" t="s">
        <v>279</v>
      </c>
      <c r="I430" s="316">
        <v>400</v>
      </c>
      <c r="J430" s="170">
        <f t="shared" si="73"/>
        <v>0</v>
      </c>
      <c r="K430" s="168" t="str">
        <f t="shared" si="74"/>
        <v xml:space="preserve"> </v>
      </c>
      <c r="L430" s="147"/>
      <c r="M430" s="147">
        <f>I430</f>
        <v>400</v>
      </c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32">
        <f t="shared" si="68"/>
        <v>400</v>
      </c>
      <c r="AE430" s="132">
        <f t="shared" si="69"/>
        <v>400</v>
      </c>
      <c r="AF430" s="150">
        <f t="shared" si="70"/>
        <v>0</v>
      </c>
    </row>
    <row r="431" spans="1:32" x14ac:dyDescent="0.25">
      <c r="A431" s="315" t="s">
        <v>843</v>
      </c>
      <c r="B431" s="315" t="s">
        <v>844</v>
      </c>
      <c r="C431" s="314" t="str">
        <f t="shared" si="71"/>
        <v>A</v>
      </c>
      <c r="D431" s="146" t="str">
        <f t="shared" si="72"/>
        <v>4</v>
      </c>
      <c r="E431" s="147" t="s">
        <v>440</v>
      </c>
      <c r="F431" s="147" t="s">
        <v>323</v>
      </c>
      <c r="G431" s="147" t="s">
        <v>325</v>
      </c>
      <c r="H431" s="148" t="s">
        <v>279</v>
      </c>
      <c r="I431" s="316">
        <v>593544</v>
      </c>
      <c r="J431" s="170">
        <f t="shared" si="73"/>
        <v>0</v>
      </c>
      <c r="K431" s="168" t="str">
        <f t="shared" si="74"/>
        <v xml:space="preserve"> </v>
      </c>
      <c r="L431" s="147">
        <f>I431</f>
        <v>593544</v>
      </c>
      <c r="M431" s="147"/>
      <c r="N431" s="147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  <c r="AA431" s="147"/>
      <c r="AB431" s="147"/>
      <c r="AC431" s="147"/>
      <c r="AD431" s="132">
        <f t="shared" si="68"/>
        <v>593544</v>
      </c>
      <c r="AE431" s="132">
        <f t="shared" si="69"/>
        <v>593544</v>
      </c>
      <c r="AF431" s="150">
        <f t="shared" si="70"/>
        <v>0</v>
      </c>
    </row>
    <row r="432" spans="1:32" x14ac:dyDescent="0.25">
      <c r="A432" s="319" t="s">
        <v>1517</v>
      </c>
      <c r="B432" s="315" t="s">
        <v>851</v>
      </c>
      <c r="C432" s="314" t="str">
        <f t="shared" si="71"/>
        <v>A</v>
      </c>
      <c r="D432" s="146" t="str">
        <f t="shared" si="72"/>
        <v>1</v>
      </c>
      <c r="E432" s="147" t="s">
        <v>241</v>
      </c>
      <c r="F432" s="147"/>
      <c r="G432" s="147"/>
      <c r="H432" s="148" t="s">
        <v>279</v>
      </c>
      <c r="I432" s="316">
        <v>51958</v>
      </c>
      <c r="J432" s="170">
        <f t="shared" si="73"/>
        <v>0</v>
      </c>
      <c r="K432" s="168">
        <f t="shared" si="74"/>
        <v>51958</v>
      </c>
      <c r="L432" s="147"/>
      <c r="M432" s="147"/>
      <c r="N432" s="147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  <c r="AA432" s="147"/>
      <c r="AB432" s="147"/>
      <c r="AC432" s="147"/>
      <c r="AD432" s="132">
        <f t="shared" si="68"/>
        <v>0</v>
      </c>
      <c r="AE432" s="132">
        <f t="shared" si="69"/>
        <v>51958</v>
      </c>
      <c r="AF432" s="150">
        <f t="shared" si="70"/>
        <v>0</v>
      </c>
    </row>
    <row r="433" spans="1:32" x14ac:dyDescent="0.25">
      <c r="A433" s="319" t="s">
        <v>615</v>
      </c>
      <c r="B433" s="315" t="s">
        <v>1015</v>
      </c>
      <c r="C433" s="314" t="str">
        <f t="shared" si="71"/>
        <v>A</v>
      </c>
      <c r="D433" s="146" t="str">
        <f t="shared" si="72"/>
        <v>1</v>
      </c>
      <c r="E433" s="147" t="s">
        <v>259</v>
      </c>
      <c r="F433" s="147"/>
      <c r="G433" s="147"/>
      <c r="H433" s="148" t="s">
        <v>279</v>
      </c>
      <c r="I433" s="316">
        <v>195000</v>
      </c>
      <c r="J433" s="170">
        <f t="shared" si="73"/>
        <v>0</v>
      </c>
      <c r="K433" s="168">
        <f t="shared" si="74"/>
        <v>195000</v>
      </c>
      <c r="L433" s="147"/>
      <c r="M433" s="147"/>
      <c r="N433" s="147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  <c r="AA433" s="147"/>
      <c r="AB433" s="147"/>
      <c r="AC433" s="147"/>
      <c r="AD433" s="132">
        <f t="shared" si="68"/>
        <v>0</v>
      </c>
      <c r="AE433" s="132">
        <f t="shared" si="69"/>
        <v>195000</v>
      </c>
      <c r="AF433" s="150">
        <f t="shared" si="70"/>
        <v>0</v>
      </c>
    </row>
    <row r="434" spans="1:32" x14ac:dyDescent="0.25">
      <c r="A434" s="319" t="s">
        <v>803</v>
      </c>
      <c r="B434" s="315" t="s">
        <v>1457</v>
      </c>
      <c r="C434" s="314" t="str">
        <f t="shared" si="71"/>
        <v>A</v>
      </c>
      <c r="D434" s="146" t="str">
        <f t="shared" si="72"/>
        <v>1</v>
      </c>
      <c r="E434" s="147" t="s">
        <v>259</v>
      </c>
      <c r="F434" s="147"/>
      <c r="G434" s="147"/>
      <c r="H434" s="148" t="s">
        <v>279</v>
      </c>
      <c r="I434" s="316">
        <v>10000</v>
      </c>
      <c r="J434" s="170">
        <f t="shared" si="73"/>
        <v>0</v>
      </c>
      <c r="K434" s="168">
        <f t="shared" si="74"/>
        <v>10000</v>
      </c>
      <c r="L434" s="147"/>
      <c r="M434" s="147"/>
      <c r="N434" s="147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32">
        <f t="shared" si="68"/>
        <v>0</v>
      </c>
      <c r="AE434" s="132">
        <f t="shared" si="69"/>
        <v>10000</v>
      </c>
      <c r="AF434" s="150">
        <f t="shared" si="70"/>
        <v>0</v>
      </c>
    </row>
    <row r="435" spans="1:32" x14ac:dyDescent="0.25">
      <c r="A435" s="319" t="s">
        <v>1144</v>
      </c>
      <c r="B435" s="315" t="s">
        <v>1457</v>
      </c>
      <c r="C435" s="314" t="str">
        <f t="shared" si="71"/>
        <v>A</v>
      </c>
      <c r="D435" s="146" t="str">
        <f t="shared" si="72"/>
        <v>1</v>
      </c>
      <c r="E435" s="147" t="s">
        <v>259</v>
      </c>
      <c r="F435" s="147"/>
      <c r="G435" s="147"/>
      <c r="H435" s="148" t="s">
        <v>279</v>
      </c>
      <c r="I435" s="316">
        <v>2000</v>
      </c>
      <c r="J435" s="170">
        <f t="shared" si="73"/>
        <v>0</v>
      </c>
      <c r="K435" s="168">
        <f t="shared" si="74"/>
        <v>2000</v>
      </c>
      <c r="L435" s="147"/>
      <c r="M435" s="147"/>
      <c r="N435" s="147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  <c r="AA435" s="147"/>
      <c r="AB435" s="147"/>
      <c r="AC435" s="147"/>
      <c r="AD435" s="132">
        <f t="shared" si="68"/>
        <v>0</v>
      </c>
      <c r="AE435" s="132">
        <f t="shared" si="69"/>
        <v>2000</v>
      </c>
      <c r="AF435" s="150">
        <f t="shared" si="70"/>
        <v>0</v>
      </c>
    </row>
    <row r="436" spans="1:32" x14ac:dyDescent="0.25">
      <c r="A436" s="319" t="s">
        <v>1481</v>
      </c>
      <c r="B436" s="315" t="s">
        <v>1356</v>
      </c>
      <c r="C436" s="314" t="str">
        <f t="shared" si="71"/>
        <v>A</v>
      </c>
      <c r="D436" s="146" t="str">
        <f t="shared" si="72"/>
        <v>4</v>
      </c>
      <c r="E436" s="147" t="s">
        <v>241</v>
      </c>
      <c r="F436" s="147"/>
      <c r="G436" s="147"/>
      <c r="H436" s="148" t="s">
        <v>279</v>
      </c>
      <c r="I436" s="316">
        <v>2000</v>
      </c>
      <c r="J436" s="170">
        <f t="shared" si="73"/>
        <v>0</v>
      </c>
      <c r="K436" s="168">
        <f t="shared" si="74"/>
        <v>2000</v>
      </c>
      <c r="L436" s="147"/>
      <c r="M436" s="147"/>
      <c r="N436" s="147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  <c r="AA436" s="147"/>
      <c r="AB436" s="147"/>
      <c r="AC436" s="147"/>
      <c r="AD436" s="132">
        <f t="shared" si="68"/>
        <v>0</v>
      </c>
      <c r="AE436" s="132">
        <f t="shared" si="69"/>
        <v>2000</v>
      </c>
      <c r="AF436" s="150">
        <f t="shared" si="70"/>
        <v>0</v>
      </c>
    </row>
    <row r="437" spans="1:32" x14ac:dyDescent="0.25">
      <c r="A437" s="319" t="s">
        <v>1639</v>
      </c>
      <c r="B437" s="315" t="s">
        <v>641</v>
      </c>
      <c r="C437" s="314" t="str">
        <f t="shared" si="71"/>
        <v>A</v>
      </c>
      <c r="D437" s="146" t="str">
        <f t="shared" si="72"/>
        <v>4</v>
      </c>
      <c r="E437" s="147" t="s">
        <v>241</v>
      </c>
      <c r="F437" s="147"/>
      <c r="G437" s="147"/>
      <c r="H437" s="148" t="s">
        <v>279</v>
      </c>
      <c r="I437" s="316">
        <v>30500</v>
      </c>
      <c r="J437" s="170">
        <f t="shared" si="73"/>
        <v>0</v>
      </c>
      <c r="K437" s="168">
        <f t="shared" si="74"/>
        <v>30500</v>
      </c>
      <c r="L437" s="147"/>
      <c r="M437" s="147"/>
      <c r="N437" s="147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  <c r="AA437" s="147"/>
      <c r="AB437" s="147"/>
      <c r="AC437" s="147"/>
      <c r="AD437" s="132">
        <f t="shared" si="68"/>
        <v>0</v>
      </c>
      <c r="AE437" s="132">
        <f t="shared" si="69"/>
        <v>30500</v>
      </c>
      <c r="AF437" s="150">
        <f t="shared" si="70"/>
        <v>0</v>
      </c>
    </row>
    <row r="438" spans="1:32" x14ac:dyDescent="0.25">
      <c r="A438" s="319" t="s">
        <v>1024</v>
      </c>
      <c r="B438" s="315" t="s">
        <v>1606</v>
      </c>
      <c r="C438" s="314" t="str">
        <f t="shared" si="71"/>
        <v>A</v>
      </c>
      <c r="D438" s="146" t="str">
        <f t="shared" si="72"/>
        <v>4</v>
      </c>
      <c r="E438" s="147" t="s">
        <v>241</v>
      </c>
      <c r="F438" s="147"/>
      <c r="G438" s="147"/>
      <c r="H438" s="148" t="s">
        <v>279</v>
      </c>
      <c r="I438" s="316">
        <v>100</v>
      </c>
      <c r="J438" s="170">
        <f t="shared" si="73"/>
        <v>0</v>
      </c>
      <c r="K438" s="168">
        <f t="shared" si="74"/>
        <v>100</v>
      </c>
      <c r="L438" s="147"/>
      <c r="M438" s="147"/>
      <c r="N438" s="147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  <c r="AA438" s="147"/>
      <c r="AB438" s="147"/>
      <c r="AC438" s="147"/>
      <c r="AD438" s="132">
        <f t="shared" si="68"/>
        <v>0</v>
      </c>
      <c r="AE438" s="132">
        <f t="shared" si="69"/>
        <v>100</v>
      </c>
      <c r="AF438" s="150">
        <f t="shared" si="70"/>
        <v>0</v>
      </c>
    </row>
    <row r="439" spans="1:32" x14ac:dyDescent="0.25">
      <c r="A439" s="319" t="s">
        <v>675</v>
      </c>
      <c r="B439" s="315" t="s">
        <v>1747</v>
      </c>
      <c r="C439" s="314" t="str">
        <f t="shared" si="71"/>
        <v>A</v>
      </c>
      <c r="D439" s="146" t="str">
        <f t="shared" si="72"/>
        <v>4</v>
      </c>
      <c r="E439" s="147" t="s">
        <v>259</v>
      </c>
      <c r="F439" s="147"/>
      <c r="G439" s="147"/>
      <c r="H439" s="148" t="s">
        <v>279</v>
      </c>
      <c r="I439" s="316">
        <v>2400</v>
      </c>
      <c r="J439" s="170">
        <f t="shared" si="73"/>
        <v>0</v>
      </c>
      <c r="K439" s="168">
        <f t="shared" si="74"/>
        <v>2400</v>
      </c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/>
      <c r="AB439" s="147"/>
      <c r="AC439" s="147"/>
      <c r="AD439" s="132">
        <f t="shared" si="68"/>
        <v>0</v>
      </c>
      <c r="AE439" s="132">
        <f t="shared" si="69"/>
        <v>2400</v>
      </c>
      <c r="AF439" s="150">
        <f t="shared" si="70"/>
        <v>0</v>
      </c>
    </row>
    <row r="440" spans="1:32" x14ac:dyDescent="0.25">
      <c r="A440" s="319" t="s">
        <v>1370</v>
      </c>
      <c r="B440" s="315" t="s">
        <v>575</v>
      </c>
      <c r="C440" s="314" t="str">
        <f t="shared" si="71"/>
        <v>A</v>
      </c>
      <c r="D440" s="146" t="str">
        <f t="shared" si="72"/>
        <v>4</v>
      </c>
      <c r="E440" s="147" t="s">
        <v>259</v>
      </c>
      <c r="F440" s="147"/>
      <c r="G440" s="147"/>
      <c r="H440" s="148" t="s">
        <v>279</v>
      </c>
      <c r="I440" s="316">
        <v>480</v>
      </c>
      <c r="J440" s="170">
        <f t="shared" si="73"/>
        <v>0</v>
      </c>
      <c r="K440" s="168">
        <f t="shared" si="74"/>
        <v>480</v>
      </c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/>
      <c r="AB440" s="147"/>
      <c r="AC440" s="147"/>
      <c r="AD440" s="132">
        <f t="shared" si="68"/>
        <v>0</v>
      </c>
      <c r="AE440" s="132">
        <f t="shared" si="69"/>
        <v>480</v>
      </c>
      <c r="AF440" s="150">
        <f t="shared" si="70"/>
        <v>0</v>
      </c>
    </row>
    <row r="441" spans="1:32" x14ac:dyDescent="0.25">
      <c r="A441" s="319" t="s">
        <v>1031</v>
      </c>
      <c r="B441" s="315" t="s">
        <v>1633</v>
      </c>
      <c r="C441" s="314" t="str">
        <f t="shared" si="71"/>
        <v>A</v>
      </c>
      <c r="D441" s="146" t="str">
        <f t="shared" si="72"/>
        <v>4</v>
      </c>
      <c r="E441" s="147" t="s">
        <v>259</v>
      </c>
      <c r="F441" s="147"/>
      <c r="G441" s="147"/>
      <c r="H441" s="148" t="s">
        <v>279</v>
      </c>
      <c r="I441" s="316">
        <v>400</v>
      </c>
      <c r="J441" s="170">
        <f t="shared" si="73"/>
        <v>0</v>
      </c>
      <c r="K441" s="168">
        <f t="shared" si="74"/>
        <v>400</v>
      </c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47"/>
      <c r="AB441" s="147"/>
      <c r="AC441" s="147"/>
      <c r="AD441" s="132">
        <f t="shared" si="68"/>
        <v>0</v>
      </c>
      <c r="AE441" s="132">
        <f t="shared" si="69"/>
        <v>400</v>
      </c>
      <c r="AF441" s="150">
        <f t="shared" si="70"/>
        <v>0</v>
      </c>
    </row>
    <row r="442" spans="1:32" x14ac:dyDescent="0.25">
      <c r="A442" s="315" t="s">
        <v>1478</v>
      </c>
      <c r="B442" s="315" t="s">
        <v>885</v>
      </c>
      <c r="C442" s="314" t="str">
        <f t="shared" si="71"/>
        <v>A</v>
      </c>
      <c r="D442" s="146" t="str">
        <f t="shared" si="72"/>
        <v>1</v>
      </c>
      <c r="E442" s="147" t="s">
        <v>440</v>
      </c>
      <c r="F442" s="147" t="s">
        <v>320</v>
      </c>
      <c r="G442" s="147" t="s">
        <v>37</v>
      </c>
      <c r="H442" s="148" t="s">
        <v>279</v>
      </c>
      <c r="I442" s="316">
        <v>77297</v>
      </c>
      <c r="J442" s="170">
        <f t="shared" si="73"/>
        <v>0</v>
      </c>
      <c r="K442" s="168" t="str">
        <f t="shared" si="74"/>
        <v xml:space="preserve"> </v>
      </c>
      <c r="L442" s="147">
        <f>I442</f>
        <v>77297</v>
      </c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47"/>
      <c r="AB442" s="147"/>
      <c r="AC442" s="147"/>
      <c r="AD442" s="132">
        <f t="shared" si="68"/>
        <v>77297</v>
      </c>
      <c r="AE442" s="132">
        <f t="shared" si="69"/>
        <v>77297</v>
      </c>
      <c r="AF442" s="150">
        <f t="shared" si="70"/>
        <v>0</v>
      </c>
    </row>
    <row r="443" spans="1:32" x14ac:dyDescent="0.25">
      <c r="A443" s="315" t="s">
        <v>1241</v>
      </c>
      <c r="B443" s="315" t="s">
        <v>1314</v>
      </c>
      <c r="C443" s="314" t="str">
        <f t="shared" si="71"/>
        <v>A</v>
      </c>
      <c r="D443" s="146" t="str">
        <f t="shared" si="72"/>
        <v>1</v>
      </c>
      <c r="E443" s="147" t="s">
        <v>440</v>
      </c>
      <c r="F443" s="147" t="s">
        <v>320</v>
      </c>
      <c r="G443" s="147" t="s">
        <v>37</v>
      </c>
      <c r="H443" s="148" t="s">
        <v>279</v>
      </c>
      <c r="I443" s="316">
        <v>54786</v>
      </c>
      <c r="J443" s="170">
        <f t="shared" si="73"/>
        <v>0</v>
      </c>
      <c r="K443" s="168" t="str">
        <f t="shared" si="74"/>
        <v xml:space="preserve"> </v>
      </c>
      <c r="L443" s="147"/>
      <c r="M443" s="147">
        <f>I443</f>
        <v>54786</v>
      </c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47"/>
      <c r="AB443" s="147"/>
      <c r="AC443" s="147"/>
      <c r="AD443" s="132">
        <f t="shared" si="68"/>
        <v>54786</v>
      </c>
      <c r="AE443" s="132">
        <f t="shared" si="69"/>
        <v>54786</v>
      </c>
      <c r="AF443" s="150">
        <f t="shared" si="70"/>
        <v>0</v>
      </c>
    </row>
    <row r="444" spans="1:32" x14ac:dyDescent="0.25">
      <c r="A444" s="315" t="s">
        <v>1752</v>
      </c>
      <c r="B444" s="315" t="s">
        <v>1088</v>
      </c>
      <c r="C444" s="314" t="str">
        <f t="shared" si="71"/>
        <v>A</v>
      </c>
      <c r="D444" s="146" t="str">
        <f t="shared" si="72"/>
        <v>1</v>
      </c>
      <c r="E444" s="147" t="s">
        <v>440</v>
      </c>
      <c r="F444" s="147" t="s">
        <v>320</v>
      </c>
      <c r="G444" s="147" t="s">
        <v>37</v>
      </c>
      <c r="H444" s="148" t="s">
        <v>279</v>
      </c>
      <c r="I444" s="316">
        <v>72869</v>
      </c>
      <c r="J444" s="170">
        <f t="shared" si="73"/>
        <v>0</v>
      </c>
      <c r="K444" s="168" t="str">
        <f t="shared" si="74"/>
        <v xml:space="preserve"> </v>
      </c>
      <c r="L444" s="147"/>
      <c r="M444" s="147"/>
      <c r="N444" s="147">
        <f>I444</f>
        <v>72869</v>
      </c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/>
      <c r="AB444" s="147"/>
      <c r="AC444" s="147"/>
      <c r="AD444" s="132">
        <f t="shared" si="68"/>
        <v>72869</v>
      </c>
      <c r="AE444" s="132">
        <f t="shared" si="69"/>
        <v>72869</v>
      </c>
      <c r="AF444" s="150">
        <f t="shared" si="70"/>
        <v>0</v>
      </c>
    </row>
    <row r="445" spans="1:32" x14ac:dyDescent="0.25">
      <c r="A445" s="315" t="s">
        <v>928</v>
      </c>
      <c r="B445" s="315" t="s">
        <v>942</v>
      </c>
      <c r="C445" s="314" t="str">
        <f t="shared" si="71"/>
        <v>A</v>
      </c>
      <c r="D445" s="146" t="str">
        <f t="shared" si="72"/>
        <v>1</v>
      </c>
      <c r="E445" s="147" t="s">
        <v>440</v>
      </c>
      <c r="F445" s="147" t="s">
        <v>320</v>
      </c>
      <c r="G445" s="147" t="s">
        <v>37</v>
      </c>
      <c r="H445" s="148" t="s">
        <v>279</v>
      </c>
      <c r="I445" s="316">
        <v>100467</v>
      </c>
      <c r="J445" s="170">
        <f t="shared" si="73"/>
        <v>0</v>
      </c>
      <c r="K445" s="168" t="str">
        <f t="shared" si="74"/>
        <v xml:space="preserve"> </v>
      </c>
      <c r="L445" s="147"/>
      <c r="M445" s="147"/>
      <c r="N445" s="147"/>
      <c r="O445" s="147">
        <f>I445</f>
        <v>100467</v>
      </c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/>
      <c r="AB445" s="147"/>
      <c r="AC445" s="147"/>
      <c r="AD445" s="132">
        <f t="shared" si="68"/>
        <v>100467</v>
      </c>
      <c r="AE445" s="132">
        <f t="shared" si="69"/>
        <v>100467</v>
      </c>
      <c r="AF445" s="150">
        <f t="shared" si="70"/>
        <v>0</v>
      </c>
    </row>
    <row r="446" spans="1:32" x14ac:dyDescent="0.25">
      <c r="A446" s="315" t="s">
        <v>1342</v>
      </c>
      <c r="B446" s="315" t="s">
        <v>1587</v>
      </c>
      <c r="C446" s="314" t="str">
        <f t="shared" si="71"/>
        <v>A</v>
      </c>
      <c r="D446" s="146" t="str">
        <f t="shared" si="72"/>
        <v>1</v>
      </c>
      <c r="E446" s="147" t="s">
        <v>440</v>
      </c>
      <c r="F446" s="147" t="s">
        <v>320</v>
      </c>
      <c r="G446" s="147" t="s">
        <v>37</v>
      </c>
      <c r="H446" s="148" t="s">
        <v>279</v>
      </c>
      <c r="I446" s="316">
        <v>50659</v>
      </c>
      <c r="J446" s="170">
        <f t="shared" si="73"/>
        <v>0</v>
      </c>
      <c r="K446" s="168" t="str">
        <f t="shared" si="74"/>
        <v xml:space="preserve"> </v>
      </c>
      <c r="L446" s="147"/>
      <c r="M446" s="147"/>
      <c r="N446" s="147"/>
      <c r="O446" s="147"/>
      <c r="P446" s="147">
        <f>I446</f>
        <v>50659</v>
      </c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  <c r="AA446" s="147"/>
      <c r="AB446" s="147"/>
      <c r="AC446" s="147"/>
      <c r="AD446" s="132">
        <f t="shared" si="68"/>
        <v>50659</v>
      </c>
      <c r="AE446" s="132">
        <f t="shared" si="69"/>
        <v>50659</v>
      </c>
      <c r="AF446" s="150">
        <f t="shared" si="70"/>
        <v>0</v>
      </c>
    </row>
    <row r="447" spans="1:32" x14ac:dyDescent="0.25">
      <c r="A447" s="315" t="s">
        <v>507</v>
      </c>
      <c r="B447" s="315" t="s">
        <v>1105</v>
      </c>
      <c r="C447" s="314" t="str">
        <f t="shared" si="71"/>
        <v>A</v>
      </c>
      <c r="D447" s="146" t="str">
        <f t="shared" si="72"/>
        <v>1</v>
      </c>
      <c r="E447" s="147" t="s">
        <v>440</v>
      </c>
      <c r="F447" s="147" t="s">
        <v>320</v>
      </c>
      <c r="G447" s="147" t="s">
        <v>37</v>
      </c>
      <c r="H447" s="148" t="s">
        <v>279</v>
      </c>
      <c r="I447" s="316">
        <v>22448</v>
      </c>
      <c r="J447" s="170">
        <f t="shared" si="73"/>
        <v>0</v>
      </c>
      <c r="K447" s="168" t="str">
        <f t="shared" si="74"/>
        <v xml:space="preserve"> </v>
      </c>
      <c r="L447" s="147">
        <f>I447</f>
        <v>22448</v>
      </c>
      <c r="M447" s="147"/>
      <c r="N447" s="147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  <c r="AA447" s="147"/>
      <c r="AB447" s="147"/>
      <c r="AC447" s="147"/>
      <c r="AD447" s="132">
        <f t="shared" si="68"/>
        <v>22448</v>
      </c>
      <c r="AE447" s="132">
        <f t="shared" si="69"/>
        <v>22448</v>
      </c>
      <c r="AF447" s="150">
        <f t="shared" si="70"/>
        <v>0</v>
      </c>
    </row>
    <row r="448" spans="1:32" x14ac:dyDescent="0.25">
      <c r="A448" s="315" t="s">
        <v>1320</v>
      </c>
      <c r="B448" s="315" t="s">
        <v>621</v>
      </c>
      <c r="C448" s="314" t="str">
        <f t="shared" si="71"/>
        <v>A</v>
      </c>
      <c r="D448" s="146" t="str">
        <f t="shared" si="72"/>
        <v>1</v>
      </c>
      <c r="E448" s="147" t="s">
        <v>440</v>
      </c>
      <c r="F448" s="147" t="s">
        <v>320</v>
      </c>
      <c r="G448" s="147" t="s">
        <v>37</v>
      </c>
      <c r="H448" s="148" t="s">
        <v>279</v>
      </c>
      <c r="I448" s="316">
        <v>1500</v>
      </c>
      <c r="J448" s="170">
        <f t="shared" si="73"/>
        <v>0</v>
      </c>
      <c r="K448" s="168" t="str">
        <f t="shared" si="74"/>
        <v xml:space="preserve"> </v>
      </c>
      <c r="L448" s="147">
        <f>I448</f>
        <v>1500</v>
      </c>
      <c r="M448" s="147"/>
      <c r="N448" s="147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  <c r="AA448" s="147"/>
      <c r="AB448" s="147"/>
      <c r="AC448" s="147"/>
      <c r="AD448" s="132">
        <f t="shared" si="68"/>
        <v>1500</v>
      </c>
      <c r="AE448" s="132">
        <f t="shared" si="69"/>
        <v>1500</v>
      </c>
      <c r="AF448" s="150">
        <f t="shared" si="70"/>
        <v>0</v>
      </c>
    </row>
    <row r="449" spans="1:32" x14ac:dyDescent="0.25">
      <c r="A449" s="315" t="s">
        <v>559</v>
      </c>
      <c r="B449" s="315" t="s">
        <v>594</v>
      </c>
      <c r="C449" s="314" t="str">
        <f t="shared" si="71"/>
        <v>A</v>
      </c>
      <c r="D449" s="146" t="str">
        <f t="shared" si="72"/>
        <v>1</v>
      </c>
      <c r="E449" s="147" t="s">
        <v>440</v>
      </c>
      <c r="F449" s="147" t="s">
        <v>320</v>
      </c>
      <c r="G449" s="147" t="s">
        <v>37</v>
      </c>
      <c r="H449" s="148" t="s">
        <v>279</v>
      </c>
      <c r="I449" s="316">
        <v>35778</v>
      </c>
      <c r="J449" s="170">
        <f t="shared" si="73"/>
        <v>0</v>
      </c>
      <c r="K449" s="168" t="str">
        <f t="shared" si="74"/>
        <v xml:space="preserve"> </v>
      </c>
      <c r="L449" s="147"/>
      <c r="M449" s="147">
        <f>I449</f>
        <v>35778</v>
      </c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32">
        <f t="shared" si="68"/>
        <v>35778</v>
      </c>
      <c r="AE449" s="132">
        <f t="shared" si="69"/>
        <v>35778</v>
      </c>
      <c r="AF449" s="150">
        <f t="shared" si="70"/>
        <v>0</v>
      </c>
    </row>
    <row r="450" spans="1:32" x14ac:dyDescent="0.25">
      <c r="A450" s="315" t="s">
        <v>735</v>
      </c>
      <c r="B450" s="315" t="s">
        <v>567</v>
      </c>
      <c r="C450" s="314" t="str">
        <f t="shared" si="71"/>
        <v>A</v>
      </c>
      <c r="D450" s="146" t="str">
        <f t="shared" si="72"/>
        <v>1</v>
      </c>
      <c r="E450" s="147" t="s">
        <v>440</v>
      </c>
      <c r="F450" s="147" t="s">
        <v>320</v>
      </c>
      <c r="G450" s="147" t="s">
        <v>37</v>
      </c>
      <c r="H450" s="148" t="s">
        <v>279</v>
      </c>
      <c r="I450" s="316">
        <v>2000</v>
      </c>
      <c r="J450" s="170">
        <f t="shared" si="73"/>
        <v>0</v>
      </c>
      <c r="K450" s="168" t="str">
        <f t="shared" si="74"/>
        <v xml:space="preserve"> </v>
      </c>
      <c r="L450" s="147"/>
      <c r="M450" s="147">
        <f>I450</f>
        <v>2000</v>
      </c>
      <c r="N450" s="147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  <c r="AA450" s="147"/>
      <c r="AB450" s="147"/>
      <c r="AC450" s="147"/>
      <c r="AD450" s="132">
        <f t="shared" si="68"/>
        <v>2000</v>
      </c>
      <c r="AE450" s="132">
        <f t="shared" si="69"/>
        <v>2000</v>
      </c>
      <c r="AF450" s="150">
        <f t="shared" si="70"/>
        <v>0</v>
      </c>
    </row>
    <row r="451" spans="1:32" x14ac:dyDescent="0.25">
      <c r="A451" s="315" t="s">
        <v>1221</v>
      </c>
      <c r="B451" s="315" t="s">
        <v>1123</v>
      </c>
      <c r="C451" s="314" t="str">
        <f t="shared" si="71"/>
        <v>A</v>
      </c>
      <c r="D451" s="146" t="str">
        <f t="shared" si="72"/>
        <v>1</v>
      </c>
      <c r="E451" s="147" t="s">
        <v>440</v>
      </c>
      <c r="F451" s="147" t="s">
        <v>320</v>
      </c>
      <c r="G451" s="147" t="s">
        <v>37</v>
      </c>
      <c r="H451" s="148" t="s">
        <v>279</v>
      </c>
      <c r="I451" s="316">
        <v>1000</v>
      </c>
      <c r="J451" s="170">
        <f t="shared" si="73"/>
        <v>0</v>
      </c>
      <c r="K451" s="168" t="str">
        <f t="shared" si="74"/>
        <v xml:space="preserve"> </v>
      </c>
      <c r="L451" s="147"/>
      <c r="M451" s="147"/>
      <c r="N451" s="147">
        <f>I451</f>
        <v>1000</v>
      </c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  <c r="AA451" s="147"/>
      <c r="AB451" s="147"/>
      <c r="AC451" s="147"/>
      <c r="AD451" s="132">
        <f t="shared" si="68"/>
        <v>1000</v>
      </c>
      <c r="AE451" s="132">
        <f t="shared" si="69"/>
        <v>1000</v>
      </c>
      <c r="AF451" s="150">
        <f t="shared" si="70"/>
        <v>0</v>
      </c>
    </row>
    <row r="452" spans="1:32" x14ac:dyDescent="0.25">
      <c r="A452" s="315" t="s">
        <v>1019</v>
      </c>
      <c r="B452" s="315" t="s">
        <v>489</v>
      </c>
      <c r="C452" s="314" t="str">
        <f t="shared" si="71"/>
        <v>A</v>
      </c>
      <c r="D452" s="146" t="str">
        <f t="shared" si="72"/>
        <v>1</v>
      </c>
      <c r="E452" s="147" t="s">
        <v>440</v>
      </c>
      <c r="F452" s="147" t="s">
        <v>320</v>
      </c>
      <c r="G452" s="147" t="s">
        <v>37</v>
      </c>
      <c r="H452" s="148" t="s">
        <v>279</v>
      </c>
      <c r="I452" s="316">
        <v>1000</v>
      </c>
      <c r="J452" s="170">
        <f t="shared" si="73"/>
        <v>0</v>
      </c>
      <c r="K452" s="168" t="str">
        <f t="shared" si="74"/>
        <v xml:space="preserve"> </v>
      </c>
      <c r="L452" s="147"/>
      <c r="M452" s="147"/>
      <c r="N452" s="147"/>
      <c r="O452" s="147">
        <f>I452</f>
        <v>1000</v>
      </c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  <c r="AA452" s="147"/>
      <c r="AB452" s="147"/>
      <c r="AC452" s="147"/>
      <c r="AD452" s="132">
        <f t="shared" si="68"/>
        <v>1000</v>
      </c>
      <c r="AE452" s="132">
        <f t="shared" si="69"/>
        <v>1000</v>
      </c>
      <c r="AF452" s="150">
        <f t="shared" si="70"/>
        <v>0</v>
      </c>
    </row>
    <row r="453" spans="1:32" x14ac:dyDescent="0.25">
      <c r="A453" s="315" t="s">
        <v>892</v>
      </c>
      <c r="B453" s="315" t="s">
        <v>1690</v>
      </c>
      <c r="C453" s="314" t="str">
        <f t="shared" si="71"/>
        <v>A</v>
      </c>
      <c r="D453" s="146" t="str">
        <f t="shared" si="72"/>
        <v>1</v>
      </c>
      <c r="E453" s="147" t="s">
        <v>440</v>
      </c>
      <c r="F453" s="147" t="s">
        <v>320</v>
      </c>
      <c r="G453" s="147" t="s">
        <v>37</v>
      </c>
      <c r="H453" s="148" t="s">
        <v>279</v>
      </c>
      <c r="I453" s="316">
        <v>1000</v>
      </c>
      <c r="J453" s="170">
        <f t="shared" si="73"/>
        <v>0</v>
      </c>
      <c r="K453" s="168" t="str">
        <f t="shared" si="74"/>
        <v xml:space="preserve"> </v>
      </c>
      <c r="L453" s="147"/>
      <c r="M453" s="147"/>
      <c r="N453" s="147"/>
      <c r="O453" s="147"/>
      <c r="P453" s="147">
        <f>I453</f>
        <v>1000</v>
      </c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  <c r="AA453" s="147"/>
      <c r="AB453" s="147"/>
      <c r="AC453" s="147"/>
      <c r="AD453" s="132">
        <f t="shared" si="68"/>
        <v>1000</v>
      </c>
      <c r="AE453" s="132">
        <f t="shared" si="69"/>
        <v>1000</v>
      </c>
      <c r="AF453" s="150">
        <f t="shared" si="70"/>
        <v>0</v>
      </c>
    </row>
    <row r="454" spans="1:32" x14ac:dyDescent="0.25">
      <c r="A454" s="315" t="s">
        <v>772</v>
      </c>
      <c r="B454" s="315" t="s">
        <v>1304</v>
      </c>
      <c r="C454" s="314" t="str">
        <f t="shared" si="71"/>
        <v>A</v>
      </c>
      <c r="D454" s="146" t="str">
        <f t="shared" si="72"/>
        <v>1</v>
      </c>
      <c r="E454" s="147" t="s">
        <v>440</v>
      </c>
      <c r="F454" s="147" t="s">
        <v>320</v>
      </c>
      <c r="G454" s="147" t="s">
        <v>37</v>
      </c>
      <c r="H454" s="148" t="s">
        <v>279</v>
      </c>
      <c r="I454" s="316">
        <v>23000</v>
      </c>
      <c r="J454" s="170">
        <f t="shared" si="73"/>
        <v>0</v>
      </c>
      <c r="K454" s="168" t="str">
        <f t="shared" si="74"/>
        <v xml:space="preserve"> </v>
      </c>
      <c r="L454" s="147">
        <f>$I$454*L7</f>
        <v>7503.599476439791</v>
      </c>
      <c r="M454" s="147">
        <f t="shared" ref="M454:P454" si="84">$I$454*M7</f>
        <v>5418.8481675392668</v>
      </c>
      <c r="N454" s="147">
        <f t="shared" si="84"/>
        <v>3228.7303664921469</v>
      </c>
      <c r="O454" s="147">
        <f t="shared" si="84"/>
        <v>3303.9921465968587</v>
      </c>
      <c r="P454" s="147">
        <f t="shared" si="84"/>
        <v>3544.8298429319375</v>
      </c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  <c r="AA454" s="147"/>
      <c r="AB454" s="147"/>
      <c r="AC454" s="147"/>
      <c r="AD454" s="132">
        <f t="shared" si="68"/>
        <v>23000</v>
      </c>
      <c r="AE454" s="132">
        <f t="shared" si="69"/>
        <v>23000</v>
      </c>
      <c r="AF454" s="150">
        <f t="shared" si="70"/>
        <v>0</v>
      </c>
    </row>
    <row r="455" spans="1:32" x14ac:dyDescent="0.25">
      <c r="A455" s="315" t="s">
        <v>1193</v>
      </c>
      <c r="B455" s="315" t="s">
        <v>1559</v>
      </c>
      <c r="C455" s="314" t="str">
        <f t="shared" si="71"/>
        <v>A</v>
      </c>
      <c r="D455" s="146" t="str">
        <f t="shared" si="72"/>
        <v>1</v>
      </c>
      <c r="E455" s="147" t="s">
        <v>440</v>
      </c>
      <c r="F455" s="147" t="s">
        <v>320</v>
      </c>
      <c r="G455" s="147" t="s">
        <v>37</v>
      </c>
      <c r="H455" s="148" t="s">
        <v>279</v>
      </c>
      <c r="I455" s="316">
        <v>5000</v>
      </c>
      <c r="J455" s="170">
        <f t="shared" si="73"/>
        <v>0</v>
      </c>
      <c r="K455" s="168" t="str">
        <f t="shared" si="74"/>
        <v xml:space="preserve"> </v>
      </c>
      <c r="L455" s="147">
        <f>$I$455*L7</f>
        <v>1631.2172774869111</v>
      </c>
      <c r="M455" s="147">
        <f t="shared" ref="M455:P455" si="85">$I$455*M7</f>
        <v>1178.0104712041884</v>
      </c>
      <c r="N455" s="147">
        <f t="shared" si="85"/>
        <v>701.89790575916231</v>
      </c>
      <c r="O455" s="147">
        <f t="shared" si="85"/>
        <v>718.25916230366488</v>
      </c>
      <c r="P455" s="147">
        <f t="shared" si="85"/>
        <v>770.61518324607334</v>
      </c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  <c r="AA455" s="147"/>
      <c r="AB455" s="147"/>
      <c r="AC455" s="147"/>
      <c r="AD455" s="132">
        <f t="shared" ref="AD455:AD518" si="86">SUM(L455:AC455)</f>
        <v>5000.0000000000009</v>
      </c>
      <c r="AE455" s="132">
        <f t="shared" ref="AE455:AE518" si="87">SUM(J455,K455,AD455)</f>
        <v>5000.0000000000009</v>
      </c>
      <c r="AF455" s="150">
        <f t="shared" ref="AF455:AF518" si="88">+I455-AE455</f>
        <v>0</v>
      </c>
    </row>
    <row r="456" spans="1:32" x14ac:dyDescent="0.25">
      <c r="A456" s="315" t="s">
        <v>492</v>
      </c>
      <c r="B456" s="315" t="s">
        <v>1597</v>
      </c>
      <c r="C456" s="314" t="str">
        <f t="shared" ref="C456:C519" si="89">CONCATENATE(MID(A456,1,1))</f>
        <v>A</v>
      </c>
      <c r="D456" s="146" t="str">
        <f t="shared" ref="D456:D519" si="90">CONCATENATE(MID(A456,8,1))</f>
        <v>2</v>
      </c>
      <c r="E456" s="147" t="s">
        <v>440</v>
      </c>
      <c r="F456" s="147" t="s">
        <v>323</v>
      </c>
      <c r="G456" s="147" t="s">
        <v>37</v>
      </c>
      <c r="H456" s="148" t="s">
        <v>279</v>
      </c>
      <c r="I456" s="316">
        <v>1200</v>
      </c>
      <c r="J456" s="170">
        <f t="shared" ref="J456:J519" si="91">IF(D456="8",I456,0)</f>
        <v>0</v>
      </c>
      <c r="K456" s="168" t="str">
        <f t="shared" ref="K456:K519" si="92">IF(E456&lt;&gt;"S",IF(D456&lt;&gt;"8",I456,"")," ")</f>
        <v xml:space="preserve"> </v>
      </c>
      <c r="L456" s="147">
        <f>I456</f>
        <v>1200</v>
      </c>
      <c r="M456" s="147"/>
      <c r="N456" s="147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  <c r="AA456" s="147"/>
      <c r="AB456" s="147"/>
      <c r="AC456" s="147"/>
      <c r="AD456" s="132">
        <f t="shared" si="86"/>
        <v>1200</v>
      </c>
      <c r="AE456" s="132">
        <f t="shared" si="87"/>
        <v>1200</v>
      </c>
      <c r="AF456" s="150">
        <f t="shared" si="88"/>
        <v>0</v>
      </c>
    </row>
    <row r="457" spans="1:32" x14ac:dyDescent="0.25">
      <c r="A457" s="315" t="s">
        <v>1452</v>
      </c>
      <c r="B457" s="315" t="s">
        <v>1138</v>
      </c>
      <c r="C457" s="314" t="str">
        <f t="shared" si="89"/>
        <v>A</v>
      </c>
      <c r="D457" s="146" t="str">
        <f t="shared" si="90"/>
        <v>2</v>
      </c>
      <c r="E457" s="147" t="s">
        <v>440</v>
      </c>
      <c r="F457" s="147" t="s">
        <v>323</v>
      </c>
      <c r="G457" s="147" t="s">
        <v>37</v>
      </c>
      <c r="H457" s="148" t="s">
        <v>279</v>
      </c>
      <c r="I457" s="316">
        <v>560</v>
      </c>
      <c r="J457" s="170">
        <f t="shared" si="91"/>
        <v>0</v>
      </c>
      <c r="K457" s="168" t="str">
        <f t="shared" si="92"/>
        <v xml:space="preserve"> </v>
      </c>
      <c r="L457" s="147"/>
      <c r="M457" s="147">
        <f>I457</f>
        <v>560</v>
      </c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32">
        <f t="shared" si="86"/>
        <v>560</v>
      </c>
      <c r="AE457" s="132">
        <f t="shared" si="87"/>
        <v>560</v>
      </c>
      <c r="AF457" s="150">
        <f t="shared" si="88"/>
        <v>0</v>
      </c>
    </row>
    <row r="458" spans="1:32" x14ac:dyDescent="0.25">
      <c r="A458" s="315" t="s">
        <v>760</v>
      </c>
      <c r="B458" s="315" t="s">
        <v>613</v>
      </c>
      <c r="C458" s="314" t="str">
        <f t="shared" si="89"/>
        <v>A</v>
      </c>
      <c r="D458" s="146" t="str">
        <f t="shared" si="90"/>
        <v>4</v>
      </c>
      <c r="E458" s="147" t="s">
        <v>440</v>
      </c>
      <c r="F458" s="147" t="s">
        <v>323</v>
      </c>
      <c r="G458" s="147" t="s">
        <v>37</v>
      </c>
      <c r="H458" s="148" t="s">
        <v>279</v>
      </c>
      <c r="I458" s="316">
        <v>6858</v>
      </c>
      <c r="J458" s="170">
        <f t="shared" si="91"/>
        <v>0</v>
      </c>
      <c r="K458" s="168" t="str">
        <f t="shared" si="92"/>
        <v xml:space="preserve"> </v>
      </c>
      <c r="L458" s="147">
        <f>$I$458*L7</f>
        <v>2237.3776178010471</v>
      </c>
      <c r="M458" s="147">
        <f t="shared" ref="M458:P458" si="93">$I$458*M7</f>
        <v>1615.7591623036649</v>
      </c>
      <c r="N458" s="147">
        <f t="shared" si="93"/>
        <v>962.72316753926702</v>
      </c>
      <c r="O458" s="147">
        <f t="shared" si="93"/>
        <v>985.16426701570686</v>
      </c>
      <c r="P458" s="147">
        <f t="shared" si="93"/>
        <v>1056.9757853403141</v>
      </c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  <c r="AA458" s="147"/>
      <c r="AB458" s="147"/>
      <c r="AC458" s="147"/>
      <c r="AD458" s="132">
        <f t="shared" si="86"/>
        <v>6858</v>
      </c>
      <c r="AE458" s="132">
        <f t="shared" si="87"/>
        <v>6858</v>
      </c>
      <c r="AF458" s="150">
        <f t="shared" si="88"/>
        <v>0</v>
      </c>
    </row>
    <row r="459" spans="1:32" x14ac:dyDescent="0.25">
      <c r="A459" s="315" t="s">
        <v>464</v>
      </c>
      <c r="B459" s="315" t="s">
        <v>530</v>
      </c>
      <c r="C459" s="314" t="str">
        <f t="shared" si="89"/>
        <v>A</v>
      </c>
      <c r="D459" s="146" t="str">
        <f t="shared" si="90"/>
        <v>4</v>
      </c>
      <c r="E459" s="147" t="s">
        <v>440</v>
      </c>
      <c r="F459" s="147" t="s">
        <v>323</v>
      </c>
      <c r="G459" s="147" t="s">
        <v>37</v>
      </c>
      <c r="H459" s="148" t="s">
        <v>279</v>
      </c>
      <c r="I459" s="316">
        <v>158</v>
      </c>
      <c r="J459" s="170">
        <f t="shared" si="91"/>
        <v>0</v>
      </c>
      <c r="K459" s="168" t="str">
        <f t="shared" si="92"/>
        <v xml:space="preserve"> </v>
      </c>
      <c r="L459" s="147">
        <f>$I$459*L7</f>
        <v>51.546465968586389</v>
      </c>
      <c r="M459" s="147">
        <f t="shared" ref="M459:P459" si="94">$I$459*M7</f>
        <v>37.225130890052355</v>
      </c>
      <c r="N459" s="147">
        <f t="shared" si="94"/>
        <v>22.179973821989531</v>
      </c>
      <c r="O459" s="147">
        <f t="shared" si="94"/>
        <v>22.696989528795811</v>
      </c>
      <c r="P459" s="147">
        <f t="shared" si="94"/>
        <v>24.351439790575917</v>
      </c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  <c r="AA459" s="147"/>
      <c r="AB459" s="147"/>
      <c r="AC459" s="147"/>
      <c r="AD459" s="132">
        <f t="shared" si="86"/>
        <v>158</v>
      </c>
      <c r="AE459" s="132">
        <f t="shared" si="87"/>
        <v>158</v>
      </c>
      <c r="AF459" s="150">
        <f t="shared" si="88"/>
        <v>0</v>
      </c>
    </row>
    <row r="460" spans="1:32" x14ac:dyDescent="0.25">
      <c r="A460" s="315" t="s">
        <v>929</v>
      </c>
      <c r="B460" s="315" t="s">
        <v>1503</v>
      </c>
      <c r="C460" s="314" t="str">
        <f t="shared" si="89"/>
        <v>A</v>
      </c>
      <c r="D460" s="146" t="str">
        <f t="shared" si="90"/>
        <v>4</v>
      </c>
      <c r="E460" s="147" t="s">
        <v>440</v>
      </c>
      <c r="F460" s="147" t="s">
        <v>323</v>
      </c>
      <c r="G460" s="147" t="s">
        <v>37</v>
      </c>
      <c r="H460" s="148" t="s">
        <v>279</v>
      </c>
      <c r="I460" s="316">
        <v>2840</v>
      </c>
      <c r="J460" s="170">
        <f t="shared" si="91"/>
        <v>0</v>
      </c>
      <c r="K460" s="168" t="str">
        <f t="shared" si="92"/>
        <v xml:space="preserve"> </v>
      </c>
      <c r="L460" s="147">
        <f>I460</f>
        <v>2840</v>
      </c>
      <c r="M460" s="147"/>
      <c r="N460" s="147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  <c r="AA460" s="147"/>
      <c r="AB460" s="147"/>
      <c r="AC460" s="147"/>
      <c r="AD460" s="132">
        <f t="shared" si="86"/>
        <v>2840</v>
      </c>
      <c r="AE460" s="132">
        <f t="shared" si="87"/>
        <v>2840</v>
      </c>
      <c r="AF460" s="150">
        <f t="shared" si="88"/>
        <v>0</v>
      </c>
    </row>
    <row r="461" spans="1:32" x14ac:dyDescent="0.25">
      <c r="A461" s="315" t="s">
        <v>568</v>
      </c>
      <c r="B461" s="315" t="s">
        <v>1578</v>
      </c>
      <c r="C461" s="314" t="str">
        <f t="shared" si="89"/>
        <v>A</v>
      </c>
      <c r="D461" s="146" t="str">
        <f t="shared" si="90"/>
        <v>4</v>
      </c>
      <c r="E461" s="147" t="s">
        <v>440</v>
      </c>
      <c r="F461" s="147" t="s">
        <v>323</v>
      </c>
      <c r="G461" s="147" t="s">
        <v>37</v>
      </c>
      <c r="H461" s="148" t="s">
        <v>279</v>
      </c>
      <c r="I461" s="316">
        <v>240</v>
      </c>
      <c r="J461" s="170">
        <f t="shared" si="91"/>
        <v>0</v>
      </c>
      <c r="K461" s="168" t="str">
        <f t="shared" si="92"/>
        <v xml:space="preserve"> </v>
      </c>
      <c r="L461" s="147"/>
      <c r="M461" s="147">
        <f>I461</f>
        <v>240</v>
      </c>
      <c r="N461" s="147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  <c r="AA461" s="147"/>
      <c r="AB461" s="147"/>
      <c r="AC461" s="147"/>
      <c r="AD461" s="132">
        <f t="shared" si="86"/>
        <v>240</v>
      </c>
      <c r="AE461" s="132">
        <f t="shared" si="87"/>
        <v>240</v>
      </c>
      <c r="AF461" s="150">
        <f t="shared" si="88"/>
        <v>0</v>
      </c>
    </row>
    <row r="462" spans="1:32" x14ac:dyDescent="0.25">
      <c r="A462" s="315" t="s">
        <v>1083</v>
      </c>
      <c r="B462" s="315" t="s">
        <v>775</v>
      </c>
      <c r="C462" s="314" t="str">
        <f t="shared" si="89"/>
        <v>A</v>
      </c>
      <c r="D462" s="146" t="str">
        <f t="shared" si="90"/>
        <v>4</v>
      </c>
      <c r="E462" s="147" t="s">
        <v>440</v>
      </c>
      <c r="F462" s="147" t="s">
        <v>323</v>
      </c>
      <c r="G462" s="147" t="s">
        <v>37</v>
      </c>
      <c r="H462" s="148" t="s">
        <v>279</v>
      </c>
      <c r="I462" s="316">
        <v>60</v>
      </c>
      <c r="J462" s="170">
        <f t="shared" si="91"/>
        <v>0</v>
      </c>
      <c r="K462" s="168" t="str">
        <f t="shared" si="92"/>
        <v xml:space="preserve"> </v>
      </c>
      <c r="L462" s="147"/>
      <c r="M462" s="147"/>
      <c r="N462" s="147">
        <f>I462</f>
        <v>60</v>
      </c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  <c r="AA462" s="147"/>
      <c r="AB462" s="147"/>
      <c r="AC462" s="147"/>
      <c r="AD462" s="132">
        <f t="shared" si="86"/>
        <v>60</v>
      </c>
      <c r="AE462" s="132">
        <f t="shared" si="87"/>
        <v>60</v>
      </c>
      <c r="AF462" s="150">
        <f t="shared" si="88"/>
        <v>0</v>
      </c>
    </row>
    <row r="463" spans="1:32" x14ac:dyDescent="0.25">
      <c r="A463" s="315" t="s">
        <v>845</v>
      </c>
      <c r="B463" s="315" t="s">
        <v>1658</v>
      </c>
      <c r="C463" s="314" t="str">
        <f t="shared" si="89"/>
        <v>A</v>
      </c>
      <c r="D463" s="146" t="str">
        <f t="shared" si="90"/>
        <v>4</v>
      </c>
      <c r="E463" s="147" t="s">
        <v>440</v>
      </c>
      <c r="F463" s="147" t="s">
        <v>323</v>
      </c>
      <c r="G463" s="147" t="s">
        <v>37</v>
      </c>
      <c r="H463" s="148" t="s">
        <v>279</v>
      </c>
      <c r="I463" s="316">
        <v>160</v>
      </c>
      <c r="J463" s="170">
        <f t="shared" si="91"/>
        <v>0</v>
      </c>
      <c r="K463" s="168" t="str">
        <f t="shared" si="92"/>
        <v xml:space="preserve"> </v>
      </c>
      <c r="L463" s="147"/>
      <c r="M463" s="147"/>
      <c r="N463" s="147"/>
      <c r="O463" s="147">
        <f>I463</f>
        <v>160</v>
      </c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32">
        <f t="shared" si="86"/>
        <v>160</v>
      </c>
      <c r="AE463" s="132">
        <f t="shared" si="87"/>
        <v>160</v>
      </c>
      <c r="AF463" s="150">
        <f t="shared" si="88"/>
        <v>0</v>
      </c>
    </row>
    <row r="464" spans="1:32" x14ac:dyDescent="0.25">
      <c r="A464" s="315" t="s">
        <v>1443</v>
      </c>
      <c r="B464" s="315" t="s">
        <v>484</v>
      </c>
      <c r="C464" s="314" t="str">
        <f t="shared" si="89"/>
        <v>A</v>
      </c>
      <c r="D464" s="146" t="str">
        <f t="shared" si="90"/>
        <v>4</v>
      </c>
      <c r="E464" s="147" t="s">
        <v>440</v>
      </c>
      <c r="F464" s="147" t="s">
        <v>323</v>
      </c>
      <c r="G464" s="147" t="s">
        <v>37</v>
      </c>
      <c r="H464" s="148" t="s">
        <v>279</v>
      </c>
      <c r="I464" s="316">
        <v>160</v>
      </c>
      <c r="J464" s="170">
        <f t="shared" si="91"/>
        <v>0</v>
      </c>
      <c r="K464" s="168" t="str">
        <f t="shared" si="92"/>
        <v xml:space="preserve"> </v>
      </c>
      <c r="L464" s="147"/>
      <c r="M464" s="147"/>
      <c r="N464" s="147"/>
      <c r="O464" s="147"/>
      <c r="P464" s="147">
        <f>I464</f>
        <v>160</v>
      </c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32">
        <f t="shared" si="86"/>
        <v>160</v>
      </c>
      <c r="AE464" s="132">
        <f t="shared" si="87"/>
        <v>160</v>
      </c>
      <c r="AF464" s="150">
        <f t="shared" si="88"/>
        <v>0</v>
      </c>
    </row>
    <row r="465" spans="1:32" x14ac:dyDescent="0.25">
      <c r="A465" s="315" t="s">
        <v>1299</v>
      </c>
      <c r="B465" s="315" t="s">
        <v>1659</v>
      </c>
      <c r="C465" s="314" t="str">
        <f t="shared" si="89"/>
        <v>A</v>
      </c>
      <c r="D465" s="146" t="str">
        <f t="shared" si="90"/>
        <v>4</v>
      </c>
      <c r="E465" s="147" t="s">
        <v>440</v>
      </c>
      <c r="F465" s="147" t="s">
        <v>323</v>
      </c>
      <c r="G465" s="147" t="s">
        <v>37</v>
      </c>
      <c r="H465" s="148" t="s">
        <v>279</v>
      </c>
      <c r="I465" s="316">
        <v>3500</v>
      </c>
      <c r="J465" s="170">
        <f t="shared" si="91"/>
        <v>0</v>
      </c>
      <c r="K465" s="168" t="str">
        <f t="shared" si="92"/>
        <v xml:space="preserve"> </v>
      </c>
      <c r="L465" s="147">
        <f>I465</f>
        <v>3500</v>
      </c>
      <c r="M465" s="147"/>
      <c r="N465" s="147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32">
        <f t="shared" si="86"/>
        <v>3500</v>
      </c>
      <c r="AE465" s="132">
        <f t="shared" si="87"/>
        <v>3500</v>
      </c>
      <c r="AF465" s="150">
        <f t="shared" si="88"/>
        <v>0</v>
      </c>
    </row>
    <row r="466" spans="1:32" x14ac:dyDescent="0.25">
      <c r="A466" s="315" t="s">
        <v>909</v>
      </c>
      <c r="B466" s="315" t="s">
        <v>470</v>
      </c>
      <c r="C466" s="314" t="str">
        <f t="shared" si="89"/>
        <v>A</v>
      </c>
      <c r="D466" s="146" t="str">
        <f t="shared" si="90"/>
        <v>4</v>
      </c>
      <c r="E466" s="147" t="s">
        <v>440</v>
      </c>
      <c r="F466" s="147" t="s">
        <v>323</v>
      </c>
      <c r="G466" s="147" t="s">
        <v>37</v>
      </c>
      <c r="H466" s="148" t="s">
        <v>279</v>
      </c>
      <c r="I466" s="316">
        <v>8180</v>
      </c>
      <c r="J466" s="170">
        <f t="shared" si="91"/>
        <v>0</v>
      </c>
      <c r="K466" s="168" t="str">
        <f t="shared" si="92"/>
        <v xml:space="preserve"> </v>
      </c>
      <c r="L466" s="147"/>
      <c r="M466" s="147">
        <f>I466</f>
        <v>8180</v>
      </c>
      <c r="N466" s="147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32">
        <f t="shared" si="86"/>
        <v>8180</v>
      </c>
      <c r="AE466" s="132">
        <f t="shared" si="87"/>
        <v>8180</v>
      </c>
      <c r="AF466" s="150">
        <f t="shared" si="88"/>
        <v>0</v>
      </c>
    </row>
    <row r="467" spans="1:32" x14ac:dyDescent="0.25">
      <c r="A467" s="315" t="s">
        <v>914</v>
      </c>
      <c r="B467" s="315" t="s">
        <v>597</v>
      </c>
      <c r="C467" s="314" t="str">
        <f t="shared" si="89"/>
        <v>A</v>
      </c>
      <c r="D467" s="146" t="str">
        <f t="shared" si="90"/>
        <v>4</v>
      </c>
      <c r="E467" s="147" t="s">
        <v>440</v>
      </c>
      <c r="F467" s="147" t="s">
        <v>323</v>
      </c>
      <c r="G467" s="147" t="s">
        <v>37</v>
      </c>
      <c r="H467" s="148" t="s">
        <v>279</v>
      </c>
      <c r="I467" s="316">
        <v>6334</v>
      </c>
      <c r="J467" s="170">
        <f t="shared" si="91"/>
        <v>0</v>
      </c>
      <c r="K467" s="168" t="str">
        <f t="shared" si="92"/>
        <v xml:space="preserve"> </v>
      </c>
      <c r="L467" s="147"/>
      <c r="M467" s="147"/>
      <c r="N467" s="147">
        <f>I467</f>
        <v>6334</v>
      </c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32">
        <f t="shared" si="86"/>
        <v>6334</v>
      </c>
      <c r="AE467" s="132">
        <f t="shared" si="87"/>
        <v>6334</v>
      </c>
      <c r="AF467" s="150">
        <f t="shared" si="88"/>
        <v>0</v>
      </c>
    </row>
    <row r="468" spans="1:32" x14ac:dyDescent="0.25">
      <c r="A468" s="315" t="s">
        <v>1341</v>
      </c>
      <c r="B468" s="315" t="s">
        <v>1032</v>
      </c>
      <c r="C468" s="314" t="str">
        <f t="shared" si="89"/>
        <v>A</v>
      </c>
      <c r="D468" s="146" t="str">
        <f t="shared" si="90"/>
        <v>4</v>
      </c>
      <c r="E468" s="147" t="s">
        <v>440</v>
      </c>
      <c r="F468" s="147" t="s">
        <v>323</v>
      </c>
      <c r="G468" s="147" t="s">
        <v>37</v>
      </c>
      <c r="H468" s="148" t="s">
        <v>279</v>
      </c>
      <c r="I468" s="316">
        <v>7009</v>
      </c>
      <c r="J468" s="170">
        <f t="shared" si="91"/>
        <v>0</v>
      </c>
      <c r="K468" s="168" t="str">
        <f t="shared" si="92"/>
        <v xml:space="preserve"> </v>
      </c>
      <c r="L468" s="147"/>
      <c r="M468" s="147"/>
      <c r="N468" s="147"/>
      <c r="O468" s="147">
        <f>I468</f>
        <v>7009</v>
      </c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32">
        <f t="shared" si="86"/>
        <v>7009</v>
      </c>
      <c r="AE468" s="132">
        <f t="shared" si="87"/>
        <v>7009</v>
      </c>
      <c r="AF468" s="150">
        <f t="shared" si="88"/>
        <v>0</v>
      </c>
    </row>
    <row r="469" spans="1:32" x14ac:dyDescent="0.25">
      <c r="A469" s="315" t="s">
        <v>1438</v>
      </c>
      <c r="B469" s="315" t="s">
        <v>1378</v>
      </c>
      <c r="C469" s="314" t="str">
        <f t="shared" si="89"/>
        <v>A</v>
      </c>
      <c r="D469" s="146" t="str">
        <f t="shared" si="90"/>
        <v>4</v>
      </c>
      <c r="E469" s="147" t="s">
        <v>440</v>
      </c>
      <c r="F469" s="147" t="s">
        <v>323</v>
      </c>
      <c r="G469" s="147" t="s">
        <v>37</v>
      </c>
      <c r="H469" s="148" t="s">
        <v>279</v>
      </c>
      <c r="I469" s="316">
        <v>6759</v>
      </c>
      <c r="J469" s="170">
        <f t="shared" si="91"/>
        <v>0</v>
      </c>
      <c r="K469" s="168" t="str">
        <f t="shared" si="92"/>
        <v xml:space="preserve"> </v>
      </c>
      <c r="L469" s="147"/>
      <c r="M469" s="147"/>
      <c r="N469" s="147"/>
      <c r="O469" s="147"/>
      <c r="P469" s="147">
        <f>I469</f>
        <v>6759</v>
      </c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32">
        <f t="shared" si="86"/>
        <v>6759</v>
      </c>
      <c r="AE469" s="132">
        <f t="shared" si="87"/>
        <v>6759</v>
      </c>
      <c r="AF469" s="150">
        <f t="shared" si="88"/>
        <v>0</v>
      </c>
    </row>
    <row r="470" spans="1:32" x14ac:dyDescent="0.25">
      <c r="A470" s="315" t="s">
        <v>1735</v>
      </c>
      <c r="B470" s="315" t="s">
        <v>1528</v>
      </c>
      <c r="C470" s="314" t="str">
        <f t="shared" si="89"/>
        <v>A</v>
      </c>
      <c r="D470" s="146" t="str">
        <f t="shared" si="90"/>
        <v>4</v>
      </c>
      <c r="E470" s="147" t="s">
        <v>440</v>
      </c>
      <c r="F470" s="147" t="s">
        <v>323</v>
      </c>
      <c r="G470" s="147" t="s">
        <v>37</v>
      </c>
      <c r="H470" s="148" t="s">
        <v>279</v>
      </c>
      <c r="I470" s="316">
        <v>2400</v>
      </c>
      <c r="J470" s="170">
        <f t="shared" si="91"/>
        <v>0</v>
      </c>
      <c r="K470" s="168" t="str">
        <f t="shared" si="92"/>
        <v xml:space="preserve"> </v>
      </c>
      <c r="L470" s="147">
        <f>I470</f>
        <v>2400</v>
      </c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32">
        <f t="shared" si="86"/>
        <v>2400</v>
      </c>
      <c r="AE470" s="132">
        <f t="shared" si="87"/>
        <v>2400</v>
      </c>
      <c r="AF470" s="150">
        <f t="shared" si="88"/>
        <v>0</v>
      </c>
    </row>
    <row r="471" spans="1:32" x14ac:dyDescent="0.25">
      <c r="A471" s="315" t="s">
        <v>1332</v>
      </c>
      <c r="B471" s="315" t="s">
        <v>1384</v>
      </c>
      <c r="C471" s="314" t="str">
        <f t="shared" si="89"/>
        <v>A</v>
      </c>
      <c r="D471" s="146" t="str">
        <f t="shared" si="90"/>
        <v>4</v>
      </c>
      <c r="E471" s="147" t="s">
        <v>440</v>
      </c>
      <c r="F471" s="147" t="s">
        <v>323</v>
      </c>
      <c r="G471" s="147" t="s">
        <v>37</v>
      </c>
      <c r="H471" s="148" t="s">
        <v>279</v>
      </c>
      <c r="I471" s="316">
        <v>400</v>
      </c>
      <c r="J471" s="170">
        <f t="shared" si="91"/>
        <v>0</v>
      </c>
      <c r="K471" s="168" t="str">
        <f t="shared" si="92"/>
        <v xml:space="preserve"> </v>
      </c>
      <c r="L471" s="147"/>
      <c r="M471" s="147">
        <f>I471</f>
        <v>400</v>
      </c>
      <c r="N471" s="147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32">
        <f t="shared" si="86"/>
        <v>400</v>
      </c>
      <c r="AE471" s="132">
        <f t="shared" si="87"/>
        <v>400</v>
      </c>
      <c r="AF471" s="150">
        <f t="shared" si="88"/>
        <v>0</v>
      </c>
    </row>
    <row r="472" spans="1:32" x14ac:dyDescent="0.25">
      <c r="A472" s="315" t="s">
        <v>584</v>
      </c>
      <c r="B472" s="315" t="s">
        <v>822</v>
      </c>
      <c r="C472" s="314" t="str">
        <f t="shared" si="89"/>
        <v>A</v>
      </c>
      <c r="D472" s="146" t="str">
        <f t="shared" si="90"/>
        <v>4</v>
      </c>
      <c r="E472" s="147" t="s">
        <v>440</v>
      </c>
      <c r="F472" s="147" t="s">
        <v>323</v>
      </c>
      <c r="G472" s="147" t="s">
        <v>37</v>
      </c>
      <c r="H472" s="148" t="s">
        <v>279</v>
      </c>
      <c r="I472" s="316">
        <v>120</v>
      </c>
      <c r="J472" s="170">
        <f t="shared" si="91"/>
        <v>0</v>
      </c>
      <c r="K472" s="168" t="str">
        <f t="shared" si="92"/>
        <v xml:space="preserve"> </v>
      </c>
      <c r="L472" s="147"/>
      <c r="M472" s="147"/>
      <c r="N472" s="147">
        <f>I472</f>
        <v>120</v>
      </c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32">
        <f t="shared" si="86"/>
        <v>120</v>
      </c>
      <c r="AE472" s="132">
        <f t="shared" si="87"/>
        <v>120</v>
      </c>
      <c r="AF472" s="150">
        <f t="shared" si="88"/>
        <v>0</v>
      </c>
    </row>
    <row r="473" spans="1:32" x14ac:dyDescent="0.25">
      <c r="A473" s="315" t="s">
        <v>937</v>
      </c>
      <c r="B473" s="315" t="s">
        <v>1720</v>
      </c>
      <c r="C473" s="314" t="str">
        <f t="shared" si="89"/>
        <v>A</v>
      </c>
      <c r="D473" s="146" t="str">
        <f t="shared" si="90"/>
        <v>4</v>
      </c>
      <c r="E473" s="147" t="s">
        <v>440</v>
      </c>
      <c r="F473" s="147" t="s">
        <v>323</v>
      </c>
      <c r="G473" s="147" t="s">
        <v>37</v>
      </c>
      <c r="H473" s="148" t="s">
        <v>279</v>
      </c>
      <c r="I473" s="316">
        <v>40</v>
      </c>
      <c r="J473" s="170">
        <f t="shared" si="91"/>
        <v>0</v>
      </c>
      <c r="K473" s="168" t="str">
        <f t="shared" si="92"/>
        <v xml:space="preserve"> </v>
      </c>
      <c r="L473" s="147"/>
      <c r="M473" s="147"/>
      <c r="N473" s="147"/>
      <c r="O473" s="147">
        <f>I473</f>
        <v>40</v>
      </c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  <c r="AA473" s="147"/>
      <c r="AB473" s="147"/>
      <c r="AC473" s="147"/>
      <c r="AD473" s="132">
        <f t="shared" si="86"/>
        <v>40</v>
      </c>
      <c r="AE473" s="132">
        <f t="shared" si="87"/>
        <v>40</v>
      </c>
      <c r="AF473" s="150">
        <f t="shared" si="88"/>
        <v>0</v>
      </c>
    </row>
    <row r="474" spans="1:32" x14ac:dyDescent="0.25">
      <c r="A474" s="315" t="s">
        <v>626</v>
      </c>
      <c r="B474" s="315" t="s">
        <v>636</v>
      </c>
      <c r="C474" s="314" t="str">
        <f t="shared" si="89"/>
        <v>A</v>
      </c>
      <c r="D474" s="146" t="str">
        <f t="shared" si="90"/>
        <v>4</v>
      </c>
      <c r="E474" s="147" t="s">
        <v>440</v>
      </c>
      <c r="F474" s="147" t="s">
        <v>323</v>
      </c>
      <c r="G474" s="147" t="s">
        <v>37</v>
      </c>
      <c r="H474" s="148" t="s">
        <v>279</v>
      </c>
      <c r="I474" s="316">
        <v>320</v>
      </c>
      <c r="J474" s="170">
        <f t="shared" si="91"/>
        <v>0</v>
      </c>
      <c r="K474" s="168" t="str">
        <f t="shared" si="92"/>
        <v xml:space="preserve"> </v>
      </c>
      <c r="L474" s="147"/>
      <c r="M474" s="147"/>
      <c r="N474" s="147"/>
      <c r="O474" s="147"/>
      <c r="P474" s="147">
        <f>I474</f>
        <v>320</v>
      </c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  <c r="AA474" s="147"/>
      <c r="AB474" s="147"/>
      <c r="AC474" s="147"/>
      <c r="AD474" s="132">
        <f t="shared" si="86"/>
        <v>320</v>
      </c>
      <c r="AE474" s="132">
        <f t="shared" si="87"/>
        <v>320</v>
      </c>
      <c r="AF474" s="150">
        <f t="shared" si="88"/>
        <v>0</v>
      </c>
    </row>
    <row r="475" spans="1:32" x14ac:dyDescent="0.25">
      <c r="A475" s="315" t="s">
        <v>956</v>
      </c>
      <c r="B475" s="315" t="s">
        <v>1369</v>
      </c>
      <c r="C475" s="314" t="str">
        <f t="shared" si="89"/>
        <v>A</v>
      </c>
      <c r="D475" s="146" t="str">
        <f t="shared" si="90"/>
        <v>4</v>
      </c>
      <c r="E475" s="147" t="s">
        <v>440</v>
      </c>
      <c r="F475" s="147" t="s">
        <v>323</v>
      </c>
      <c r="G475" s="147" t="s">
        <v>37</v>
      </c>
      <c r="H475" s="148" t="s">
        <v>279</v>
      </c>
      <c r="I475" s="316">
        <v>5983</v>
      </c>
      <c r="J475" s="170">
        <f t="shared" si="91"/>
        <v>0</v>
      </c>
      <c r="K475" s="168" t="str">
        <f t="shared" si="92"/>
        <v xml:space="preserve"> </v>
      </c>
      <c r="L475" s="147">
        <f>I475</f>
        <v>5983</v>
      </c>
      <c r="M475" s="147"/>
      <c r="N475" s="147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  <c r="AA475" s="147"/>
      <c r="AB475" s="147"/>
      <c r="AC475" s="147"/>
      <c r="AD475" s="132">
        <f t="shared" si="86"/>
        <v>5983</v>
      </c>
      <c r="AE475" s="132">
        <f t="shared" si="87"/>
        <v>5983</v>
      </c>
      <c r="AF475" s="150">
        <f t="shared" si="88"/>
        <v>0</v>
      </c>
    </row>
    <row r="476" spans="1:32" x14ac:dyDescent="0.25">
      <c r="A476" s="315" t="s">
        <v>1048</v>
      </c>
      <c r="B476" s="315" t="s">
        <v>1511</v>
      </c>
      <c r="C476" s="314" t="str">
        <f t="shared" si="89"/>
        <v>A</v>
      </c>
      <c r="D476" s="146" t="str">
        <f t="shared" si="90"/>
        <v>4</v>
      </c>
      <c r="E476" s="147" t="s">
        <v>440</v>
      </c>
      <c r="F476" s="147" t="s">
        <v>323</v>
      </c>
      <c r="G476" s="147" t="s">
        <v>37</v>
      </c>
      <c r="H476" s="148" t="s">
        <v>279</v>
      </c>
      <c r="I476" s="316">
        <v>1000</v>
      </c>
      <c r="J476" s="170">
        <f t="shared" si="91"/>
        <v>0</v>
      </c>
      <c r="K476" s="168" t="str">
        <f t="shared" si="92"/>
        <v xml:space="preserve"> </v>
      </c>
      <c r="L476" s="147"/>
      <c r="M476" s="147">
        <f>I476</f>
        <v>1000</v>
      </c>
      <c r="N476" s="147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  <c r="AA476" s="147"/>
      <c r="AB476" s="147"/>
      <c r="AC476" s="147"/>
      <c r="AD476" s="132">
        <f t="shared" si="86"/>
        <v>1000</v>
      </c>
      <c r="AE476" s="132">
        <f t="shared" si="87"/>
        <v>1000</v>
      </c>
      <c r="AF476" s="150">
        <f t="shared" si="88"/>
        <v>0</v>
      </c>
    </row>
    <row r="477" spans="1:32" x14ac:dyDescent="0.25">
      <c r="A477" s="315" t="s">
        <v>1739</v>
      </c>
      <c r="B477" s="315" t="s">
        <v>726</v>
      </c>
      <c r="C477" s="314" t="str">
        <f t="shared" si="89"/>
        <v>A</v>
      </c>
      <c r="D477" s="146" t="str">
        <f t="shared" si="90"/>
        <v>4</v>
      </c>
      <c r="E477" s="147" t="s">
        <v>440</v>
      </c>
      <c r="F477" s="147" t="s">
        <v>323</v>
      </c>
      <c r="G477" s="147" t="s">
        <v>37</v>
      </c>
      <c r="H477" s="148" t="s">
        <v>279</v>
      </c>
      <c r="I477" s="316">
        <v>1000</v>
      </c>
      <c r="J477" s="170">
        <f t="shared" si="91"/>
        <v>0</v>
      </c>
      <c r="K477" s="168" t="str">
        <f t="shared" si="92"/>
        <v xml:space="preserve"> </v>
      </c>
      <c r="L477" s="147"/>
      <c r="M477" s="147"/>
      <c r="N477" s="147">
        <f>I477</f>
        <v>1000</v>
      </c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  <c r="AA477" s="147"/>
      <c r="AB477" s="147"/>
      <c r="AC477" s="147"/>
      <c r="AD477" s="132">
        <f t="shared" si="86"/>
        <v>1000</v>
      </c>
      <c r="AE477" s="132">
        <f t="shared" si="87"/>
        <v>1000</v>
      </c>
      <c r="AF477" s="150">
        <f t="shared" si="88"/>
        <v>0</v>
      </c>
    </row>
    <row r="478" spans="1:32" x14ac:dyDescent="0.25">
      <c r="A478" s="315" t="s">
        <v>1203</v>
      </c>
      <c r="B478" s="315" t="s">
        <v>1229</v>
      </c>
      <c r="C478" s="314" t="str">
        <f t="shared" si="89"/>
        <v>A</v>
      </c>
      <c r="D478" s="146" t="str">
        <f t="shared" si="90"/>
        <v>4</v>
      </c>
      <c r="E478" s="147" t="s">
        <v>440</v>
      </c>
      <c r="F478" s="147" t="s">
        <v>323</v>
      </c>
      <c r="G478" s="147" t="s">
        <v>37</v>
      </c>
      <c r="H478" s="148" t="s">
        <v>279</v>
      </c>
      <c r="I478" s="316">
        <v>500</v>
      </c>
      <c r="J478" s="170">
        <f t="shared" si="91"/>
        <v>0</v>
      </c>
      <c r="K478" s="168" t="str">
        <f t="shared" si="92"/>
        <v xml:space="preserve"> </v>
      </c>
      <c r="L478" s="147"/>
      <c r="M478" s="147"/>
      <c r="N478" s="147"/>
      <c r="O478" s="147">
        <f>I478</f>
        <v>500</v>
      </c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  <c r="AA478" s="147"/>
      <c r="AB478" s="147"/>
      <c r="AC478" s="147"/>
      <c r="AD478" s="132">
        <f t="shared" si="86"/>
        <v>500</v>
      </c>
      <c r="AE478" s="132">
        <f t="shared" si="87"/>
        <v>500</v>
      </c>
      <c r="AF478" s="150">
        <f t="shared" si="88"/>
        <v>0</v>
      </c>
    </row>
    <row r="479" spans="1:32" x14ac:dyDescent="0.25">
      <c r="A479" s="315" t="s">
        <v>1344</v>
      </c>
      <c r="B479" s="315" t="s">
        <v>736</v>
      </c>
      <c r="C479" s="314" t="str">
        <f t="shared" si="89"/>
        <v>A</v>
      </c>
      <c r="D479" s="146" t="str">
        <f t="shared" si="90"/>
        <v>4</v>
      </c>
      <c r="E479" s="147" t="s">
        <v>440</v>
      </c>
      <c r="F479" s="147" t="s">
        <v>323</v>
      </c>
      <c r="G479" s="147" t="s">
        <v>37</v>
      </c>
      <c r="H479" s="148" t="s">
        <v>279</v>
      </c>
      <c r="I479" s="316">
        <v>500</v>
      </c>
      <c r="J479" s="170">
        <f t="shared" si="91"/>
        <v>0</v>
      </c>
      <c r="K479" s="168" t="str">
        <f t="shared" si="92"/>
        <v xml:space="preserve"> </v>
      </c>
      <c r="L479" s="147"/>
      <c r="M479" s="147"/>
      <c r="N479" s="147"/>
      <c r="O479" s="147"/>
      <c r="P479" s="147">
        <f>I479</f>
        <v>500</v>
      </c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  <c r="AA479" s="147"/>
      <c r="AB479" s="147"/>
      <c r="AC479" s="147"/>
      <c r="AD479" s="132">
        <f t="shared" si="86"/>
        <v>500</v>
      </c>
      <c r="AE479" s="132">
        <f t="shared" si="87"/>
        <v>500</v>
      </c>
      <c r="AF479" s="150">
        <f t="shared" si="88"/>
        <v>0</v>
      </c>
    </row>
    <row r="480" spans="1:32" x14ac:dyDescent="0.25">
      <c r="A480" s="315" t="s">
        <v>643</v>
      </c>
      <c r="B480" s="315" t="s">
        <v>1723</v>
      </c>
      <c r="C480" s="314" t="str">
        <f t="shared" si="89"/>
        <v>A</v>
      </c>
      <c r="D480" s="146" t="str">
        <f t="shared" si="90"/>
        <v>4</v>
      </c>
      <c r="E480" s="147" t="s">
        <v>440</v>
      </c>
      <c r="F480" s="147" t="s">
        <v>323</v>
      </c>
      <c r="G480" s="147" t="s">
        <v>37</v>
      </c>
      <c r="H480" s="148" t="s">
        <v>279</v>
      </c>
      <c r="I480" s="316">
        <v>1100</v>
      </c>
      <c r="J480" s="170">
        <f t="shared" si="91"/>
        <v>0</v>
      </c>
      <c r="K480" s="168" t="str">
        <f t="shared" si="92"/>
        <v xml:space="preserve"> </v>
      </c>
      <c r="L480" s="147">
        <f>I480</f>
        <v>1100</v>
      </c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  <c r="AA480" s="147"/>
      <c r="AB480" s="147"/>
      <c r="AC480" s="147"/>
      <c r="AD480" s="132">
        <f t="shared" si="86"/>
        <v>1100</v>
      </c>
      <c r="AE480" s="132">
        <f t="shared" si="87"/>
        <v>1100</v>
      </c>
      <c r="AF480" s="150">
        <f t="shared" si="88"/>
        <v>0</v>
      </c>
    </row>
    <row r="481" spans="1:32" x14ac:dyDescent="0.25">
      <c r="A481" s="315" t="s">
        <v>987</v>
      </c>
      <c r="B481" s="315" t="s">
        <v>478</v>
      </c>
      <c r="C481" s="314" t="str">
        <f t="shared" si="89"/>
        <v>A</v>
      </c>
      <c r="D481" s="146" t="str">
        <f t="shared" si="90"/>
        <v>4</v>
      </c>
      <c r="E481" s="147" t="s">
        <v>440</v>
      </c>
      <c r="F481" s="147" t="s">
        <v>323</v>
      </c>
      <c r="G481" s="147" t="s">
        <v>37</v>
      </c>
      <c r="H481" s="148" t="s">
        <v>279</v>
      </c>
      <c r="I481" s="316">
        <v>300</v>
      </c>
      <c r="J481" s="170">
        <f t="shared" si="91"/>
        <v>0</v>
      </c>
      <c r="K481" s="168" t="str">
        <f t="shared" si="92"/>
        <v xml:space="preserve"> </v>
      </c>
      <c r="L481" s="147"/>
      <c r="M481" s="147"/>
      <c r="N481" s="147">
        <f>I481</f>
        <v>300</v>
      </c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  <c r="AA481" s="147"/>
      <c r="AB481" s="147"/>
      <c r="AC481" s="147"/>
      <c r="AD481" s="132">
        <f t="shared" si="86"/>
        <v>300</v>
      </c>
      <c r="AE481" s="132">
        <f t="shared" si="87"/>
        <v>300</v>
      </c>
      <c r="AF481" s="150">
        <f t="shared" si="88"/>
        <v>0</v>
      </c>
    </row>
    <row r="482" spans="1:32" x14ac:dyDescent="0.25">
      <c r="A482" s="315" t="s">
        <v>1340</v>
      </c>
      <c r="B482" s="315" t="s">
        <v>847</v>
      </c>
      <c r="C482" s="314" t="str">
        <f t="shared" si="89"/>
        <v>A</v>
      </c>
      <c r="D482" s="146" t="str">
        <f t="shared" si="90"/>
        <v>4</v>
      </c>
      <c r="E482" s="147" t="s">
        <v>440</v>
      </c>
      <c r="F482" s="147" t="s">
        <v>323</v>
      </c>
      <c r="G482" s="147" t="s">
        <v>37</v>
      </c>
      <c r="H482" s="148" t="s">
        <v>279</v>
      </c>
      <c r="I482" s="316">
        <v>100</v>
      </c>
      <c r="J482" s="170">
        <f t="shared" si="91"/>
        <v>0</v>
      </c>
      <c r="K482" s="168" t="str">
        <f t="shared" si="92"/>
        <v xml:space="preserve"> </v>
      </c>
      <c r="L482" s="147"/>
      <c r="M482" s="147"/>
      <c r="N482" s="147"/>
      <c r="O482" s="147">
        <f>I482</f>
        <v>100</v>
      </c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  <c r="AA482" s="147"/>
      <c r="AB482" s="147"/>
      <c r="AC482" s="147"/>
      <c r="AD482" s="132">
        <f t="shared" si="86"/>
        <v>100</v>
      </c>
      <c r="AE482" s="132">
        <f t="shared" si="87"/>
        <v>100</v>
      </c>
      <c r="AF482" s="150">
        <f t="shared" si="88"/>
        <v>0</v>
      </c>
    </row>
    <row r="483" spans="1:32" x14ac:dyDescent="0.25">
      <c r="A483" s="315" t="s">
        <v>1001</v>
      </c>
      <c r="B483" s="315" t="s">
        <v>1653</v>
      </c>
      <c r="C483" s="314" t="str">
        <f t="shared" si="89"/>
        <v>A</v>
      </c>
      <c r="D483" s="146" t="str">
        <f t="shared" si="90"/>
        <v>4</v>
      </c>
      <c r="E483" s="147" t="s">
        <v>440</v>
      </c>
      <c r="F483" s="147" t="s">
        <v>323</v>
      </c>
      <c r="G483" s="147" t="s">
        <v>37</v>
      </c>
      <c r="H483" s="148" t="s">
        <v>279</v>
      </c>
      <c r="I483" s="316">
        <v>0</v>
      </c>
      <c r="J483" s="170">
        <f t="shared" si="91"/>
        <v>0</v>
      </c>
      <c r="K483" s="168" t="str">
        <f t="shared" si="92"/>
        <v xml:space="preserve"> </v>
      </c>
      <c r="L483" s="147"/>
      <c r="M483" s="147"/>
      <c r="N483" s="147"/>
      <c r="O483" s="147"/>
      <c r="P483" s="147">
        <f>I483</f>
        <v>0</v>
      </c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  <c r="AA483" s="147"/>
      <c r="AB483" s="147"/>
      <c r="AC483" s="147"/>
      <c r="AD483" s="132">
        <f t="shared" si="86"/>
        <v>0</v>
      </c>
      <c r="AE483" s="132">
        <f t="shared" si="87"/>
        <v>0</v>
      </c>
      <c r="AF483" s="150">
        <f t="shared" si="88"/>
        <v>0</v>
      </c>
    </row>
    <row r="484" spans="1:32" x14ac:dyDescent="0.25">
      <c r="A484" s="315" t="s">
        <v>703</v>
      </c>
      <c r="B484" s="315" t="s">
        <v>967</v>
      </c>
      <c r="C484" s="314" t="str">
        <f t="shared" si="89"/>
        <v>A</v>
      </c>
      <c r="D484" s="146" t="str">
        <f t="shared" si="90"/>
        <v>4</v>
      </c>
      <c r="E484" s="147" t="s">
        <v>440</v>
      </c>
      <c r="F484" s="147" t="s">
        <v>322</v>
      </c>
      <c r="G484" s="147" t="s">
        <v>37</v>
      </c>
      <c r="H484" s="148" t="s">
        <v>279</v>
      </c>
      <c r="I484" s="316">
        <v>69718</v>
      </c>
      <c r="J484" s="170">
        <f t="shared" si="91"/>
        <v>0</v>
      </c>
      <c r="K484" s="168" t="str">
        <f t="shared" si="92"/>
        <v xml:space="preserve"> </v>
      </c>
      <c r="L484" s="147">
        <f>$I$484*L7</f>
        <v>22745.041230366493</v>
      </c>
      <c r="M484" s="147">
        <f t="shared" ref="M484:P484" si="95">$I$484*M7</f>
        <v>16425.706806282724</v>
      </c>
      <c r="N484" s="147">
        <f t="shared" si="95"/>
        <v>9786.9836387434552</v>
      </c>
      <c r="O484" s="147">
        <f t="shared" si="95"/>
        <v>10015.118455497382</v>
      </c>
      <c r="P484" s="147">
        <f t="shared" si="95"/>
        <v>10745.149869109948</v>
      </c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  <c r="AA484" s="147"/>
      <c r="AB484" s="147"/>
      <c r="AC484" s="147"/>
      <c r="AD484" s="132">
        <f t="shared" si="86"/>
        <v>69718</v>
      </c>
      <c r="AE484" s="132">
        <f t="shared" si="87"/>
        <v>69718</v>
      </c>
      <c r="AF484" s="150">
        <f t="shared" si="88"/>
        <v>0</v>
      </c>
    </row>
    <row r="485" spans="1:32" x14ac:dyDescent="0.25">
      <c r="A485" s="315" t="s">
        <v>517</v>
      </c>
      <c r="B485" s="315" t="s">
        <v>1637</v>
      </c>
      <c r="C485" s="314" t="str">
        <f t="shared" si="89"/>
        <v>A</v>
      </c>
      <c r="D485" s="146" t="str">
        <f t="shared" si="90"/>
        <v>1</v>
      </c>
      <c r="E485" s="147" t="s">
        <v>440</v>
      </c>
      <c r="F485" s="147" t="s">
        <v>320</v>
      </c>
      <c r="G485" s="147" t="s">
        <v>37</v>
      </c>
      <c r="H485" s="148" t="s">
        <v>279</v>
      </c>
      <c r="I485" s="316">
        <v>37173</v>
      </c>
      <c r="J485" s="170">
        <f t="shared" si="91"/>
        <v>0</v>
      </c>
      <c r="K485" s="168" t="str">
        <f t="shared" si="92"/>
        <v xml:space="preserve"> </v>
      </c>
      <c r="L485" s="147">
        <f>I485</f>
        <v>37173</v>
      </c>
      <c r="M485" s="147"/>
      <c r="N485" s="147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  <c r="AA485" s="147"/>
      <c r="AB485" s="147"/>
      <c r="AC485" s="147"/>
      <c r="AD485" s="132">
        <f t="shared" si="86"/>
        <v>37173</v>
      </c>
      <c r="AE485" s="132">
        <f t="shared" si="87"/>
        <v>37173</v>
      </c>
      <c r="AF485" s="150">
        <f t="shared" si="88"/>
        <v>0</v>
      </c>
    </row>
    <row r="486" spans="1:32" x14ac:dyDescent="0.25">
      <c r="A486" s="315" t="s">
        <v>1207</v>
      </c>
      <c r="B486" s="315" t="s">
        <v>1458</v>
      </c>
      <c r="C486" s="314" t="str">
        <f t="shared" si="89"/>
        <v>A</v>
      </c>
      <c r="D486" s="146" t="str">
        <f t="shared" si="90"/>
        <v>1</v>
      </c>
      <c r="E486" s="147" t="s">
        <v>440</v>
      </c>
      <c r="F486" s="147" t="s">
        <v>320</v>
      </c>
      <c r="G486" s="147" t="s">
        <v>37</v>
      </c>
      <c r="H486" s="148" t="s">
        <v>279</v>
      </c>
      <c r="I486" s="316">
        <v>1000</v>
      </c>
      <c r="J486" s="170">
        <f t="shared" si="91"/>
        <v>0</v>
      </c>
      <c r="K486" s="168" t="str">
        <f t="shared" si="92"/>
        <v xml:space="preserve"> </v>
      </c>
      <c r="L486" s="147">
        <f>I486</f>
        <v>1000</v>
      </c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  <c r="AA486" s="147"/>
      <c r="AB486" s="147"/>
      <c r="AC486" s="147"/>
      <c r="AD486" s="132">
        <f t="shared" si="86"/>
        <v>1000</v>
      </c>
      <c r="AE486" s="132">
        <f t="shared" si="87"/>
        <v>1000</v>
      </c>
      <c r="AF486" s="150">
        <f t="shared" si="88"/>
        <v>0</v>
      </c>
    </row>
    <row r="487" spans="1:32" x14ac:dyDescent="0.25">
      <c r="A487" s="315" t="s">
        <v>837</v>
      </c>
      <c r="B487" s="315" t="s">
        <v>725</v>
      </c>
      <c r="C487" s="314" t="str">
        <f t="shared" si="89"/>
        <v>A</v>
      </c>
      <c r="D487" s="146" t="str">
        <f t="shared" si="90"/>
        <v>1</v>
      </c>
      <c r="E487" s="147" t="s">
        <v>440</v>
      </c>
      <c r="F487" s="147" t="s">
        <v>320</v>
      </c>
      <c r="G487" s="147" t="s">
        <v>37</v>
      </c>
      <c r="H487" s="148" t="s">
        <v>279</v>
      </c>
      <c r="I487" s="316">
        <v>41700</v>
      </c>
      <c r="J487" s="170">
        <f t="shared" si="91"/>
        <v>0</v>
      </c>
      <c r="K487" s="168" t="str">
        <f t="shared" si="92"/>
        <v xml:space="preserve"> </v>
      </c>
      <c r="L487" s="147"/>
      <c r="M487" s="147">
        <f>I487</f>
        <v>41700</v>
      </c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  <c r="AA487" s="147"/>
      <c r="AB487" s="147"/>
      <c r="AC487" s="147"/>
      <c r="AD487" s="132">
        <f t="shared" si="86"/>
        <v>41700</v>
      </c>
      <c r="AE487" s="132">
        <f t="shared" si="87"/>
        <v>41700</v>
      </c>
      <c r="AF487" s="150">
        <f t="shared" si="88"/>
        <v>0</v>
      </c>
    </row>
    <row r="488" spans="1:32" x14ac:dyDescent="0.25">
      <c r="A488" s="315" t="s">
        <v>1574</v>
      </c>
      <c r="B488" s="315" t="s">
        <v>577</v>
      </c>
      <c r="C488" s="314" t="str">
        <f t="shared" si="89"/>
        <v>A</v>
      </c>
      <c r="D488" s="146" t="str">
        <f t="shared" si="90"/>
        <v>1</v>
      </c>
      <c r="E488" s="147" t="s">
        <v>440</v>
      </c>
      <c r="F488" s="147" t="s">
        <v>320</v>
      </c>
      <c r="G488" s="147" t="s">
        <v>37</v>
      </c>
      <c r="H488" s="148" t="s">
        <v>279</v>
      </c>
      <c r="I488" s="316">
        <v>1000</v>
      </c>
      <c r="J488" s="170">
        <f t="shared" si="91"/>
        <v>0</v>
      </c>
      <c r="K488" s="168" t="str">
        <f t="shared" si="92"/>
        <v xml:space="preserve"> </v>
      </c>
      <c r="L488" s="147"/>
      <c r="M488" s="147">
        <f>I488</f>
        <v>1000</v>
      </c>
      <c r="N488" s="147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  <c r="AA488" s="147"/>
      <c r="AB488" s="147"/>
      <c r="AC488" s="147"/>
      <c r="AD488" s="132">
        <f t="shared" si="86"/>
        <v>1000</v>
      </c>
      <c r="AE488" s="132">
        <f t="shared" si="87"/>
        <v>1000</v>
      </c>
      <c r="AF488" s="150">
        <f t="shared" si="88"/>
        <v>0</v>
      </c>
    </row>
    <row r="489" spans="1:32" x14ac:dyDescent="0.25">
      <c r="A489" s="315" t="s">
        <v>1133</v>
      </c>
      <c r="B489" s="315" t="s">
        <v>782</v>
      </c>
      <c r="C489" s="314" t="str">
        <f t="shared" si="89"/>
        <v>A</v>
      </c>
      <c r="D489" s="146" t="str">
        <f t="shared" si="90"/>
        <v>1</v>
      </c>
      <c r="E489" s="147" t="s">
        <v>440</v>
      </c>
      <c r="F489" s="147" t="s">
        <v>320</v>
      </c>
      <c r="G489" s="147" t="s">
        <v>37</v>
      </c>
      <c r="H489" s="148" t="s">
        <v>279</v>
      </c>
      <c r="I489" s="316">
        <v>37173</v>
      </c>
      <c r="J489" s="170">
        <f t="shared" si="91"/>
        <v>0</v>
      </c>
      <c r="K489" s="168" t="str">
        <f t="shared" si="92"/>
        <v xml:space="preserve"> </v>
      </c>
      <c r="L489" s="147"/>
      <c r="M489" s="147"/>
      <c r="N489" s="147">
        <f>I489</f>
        <v>37173</v>
      </c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  <c r="AA489" s="147"/>
      <c r="AB489" s="147"/>
      <c r="AC489" s="147"/>
      <c r="AD489" s="132">
        <f t="shared" si="86"/>
        <v>37173</v>
      </c>
      <c r="AE489" s="132">
        <f t="shared" si="87"/>
        <v>37173</v>
      </c>
      <c r="AF489" s="150">
        <f t="shared" si="88"/>
        <v>0</v>
      </c>
    </row>
    <row r="490" spans="1:32" x14ac:dyDescent="0.25">
      <c r="A490" s="315" t="s">
        <v>819</v>
      </c>
      <c r="B490" s="315" t="s">
        <v>1020</v>
      </c>
      <c r="C490" s="314" t="str">
        <f t="shared" si="89"/>
        <v>A</v>
      </c>
      <c r="D490" s="146" t="str">
        <f t="shared" si="90"/>
        <v>1</v>
      </c>
      <c r="E490" s="147" t="s">
        <v>440</v>
      </c>
      <c r="F490" s="147" t="s">
        <v>320</v>
      </c>
      <c r="G490" s="147" t="s">
        <v>37</v>
      </c>
      <c r="H490" s="148" t="s">
        <v>279</v>
      </c>
      <c r="I490" s="316">
        <v>1000</v>
      </c>
      <c r="J490" s="170">
        <f t="shared" si="91"/>
        <v>0</v>
      </c>
      <c r="K490" s="168" t="str">
        <f t="shared" si="92"/>
        <v xml:space="preserve"> </v>
      </c>
      <c r="L490" s="147"/>
      <c r="M490" s="147"/>
      <c r="N490" s="147">
        <f>I490</f>
        <v>1000</v>
      </c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  <c r="AA490" s="147"/>
      <c r="AB490" s="147"/>
      <c r="AC490" s="147"/>
      <c r="AD490" s="132">
        <f t="shared" si="86"/>
        <v>1000</v>
      </c>
      <c r="AE490" s="132">
        <f t="shared" si="87"/>
        <v>1000</v>
      </c>
      <c r="AF490" s="150">
        <f t="shared" si="88"/>
        <v>0</v>
      </c>
    </row>
    <row r="491" spans="1:32" x14ac:dyDescent="0.25">
      <c r="A491" s="315" t="s">
        <v>1199</v>
      </c>
      <c r="B491" s="315" t="s">
        <v>474</v>
      </c>
      <c r="C491" s="314" t="str">
        <f t="shared" si="89"/>
        <v>A</v>
      </c>
      <c r="D491" s="146" t="str">
        <f t="shared" si="90"/>
        <v>1</v>
      </c>
      <c r="E491" s="147" t="s">
        <v>440</v>
      </c>
      <c r="F491" s="147" t="s">
        <v>320</v>
      </c>
      <c r="G491" s="147" t="s">
        <v>37</v>
      </c>
      <c r="H491" s="148" t="s">
        <v>279</v>
      </c>
      <c r="I491" s="316">
        <v>30606</v>
      </c>
      <c r="J491" s="170">
        <f t="shared" si="91"/>
        <v>0</v>
      </c>
      <c r="K491" s="168" t="str">
        <f t="shared" si="92"/>
        <v xml:space="preserve"> </v>
      </c>
      <c r="L491" s="147"/>
      <c r="M491" s="147"/>
      <c r="N491" s="147"/>
      <c r="O491" s="147">
        <f>I491</f>
        <v>30606</v>
      </c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  <c r="AA491" s="147"/>
      <c r="AB491" s="147"/>
      <c r="AC491" s="147"/>
      <c r="AD491" s="132">
        <f t="shared" si="86"/>
        <v>30606</v>
      </c>
      <c r="AE491" s="132">
        <f t="shared" si="87"/>
        <v>30606</v>
      </c>
      <c r="AF491" s="150">
        <f t="shared" si="88"/>
        <v>0</v>
      </c>
    </row>
    <row r="492" spans="1:32" x14ac:dyDescent="0.25">
      <c r="A492" s="315" t="s">
        <v>1214</v>
      </c>
      <c r="B492" s="315" t="s">
        <v>1141</v>
      </c>
      <c r="C492" s="314" t="str">
        <f t="shared" si="89"/>
        <v>A</v>
      </c>
      <c r="D492" s="146" t="str">
        <f t="shared" si="90"/>
        <v>1</v>
      </c>
      <c r="E492" s="147" t="s">
        <v>440</v>
      </c>
      <c r="F492" s="147" t="s">
        <v>320</v>
      </c>
      <c r="G492" s="147" t="s">
        <v>37</v>
      </c>
      <c r="H492" s="148" t="s">
        <v>279</v>
      </c>
      <c r="I492" s="316">
        <v>1000</v>
      </c>
      <c r="J492" s="170">
        <f t="shared" si="91"/>
        <v>0</v>
      </c>
      <c r="K492" s="168" t="str">
        <f t="shared" si="92"/>
        <v xml:space="preserve"> </v>
      </c>
      <c r="L492" s="147"/>
      <c r="M492" s="147"/>
      <c r="N492" s="147"/>
      <c r="O492" s="147">
        <f>I492</f>
        <v>1000</v>
      </c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  <c r="AA492" s="147"/>
      <c r="AB492" s="147"/>
      <c r="AC492" s="147"/>
      <c r="AD492" s="132">
        <f t="shared" si="86"/>
        <v>1000</v>
      </c>
      <c r="AE492" s="132">
        <f t="shared" si="87"/>
        <v>1000</v>
      </c>
      <c r="AF492" s="150">
        <f t="shared" si="88"/>
        <v>0</v>
      </c>
    </row>
    <row r="493" spans="1:32" x14ac:dyDescent="0.25">
      <c r="A493" s="315" t="s">
        <v>1160</v>
      </c>
      <c r="B493" s="315" t="s">
        <v>1235</v>
      </c>
      <c r="C493" s="314" t="str">
        <f t="shared" si="89"/>
        <v>A</v>
      </c>
      <c r="D493" s="146" t="str">
        <f t="shared" si="90"/>
        <v>1</v>
      </c>
      <c r="E493" s="147" t="s">
        <v>440</v>
      </c>
      <c r="F493" s="147" t="s">
        <v>320</v>
      </c>
      <c r="G493" s="147" t="s">
        <v>37</v>
      </c>
      <c r="H493" s="148" t="s">
        <v>279</v>
      </c>
      <c r="I493" s="316">
        <v>37173</v>
      </c>
      <c r="J493" s="170">
        <f t="shared" si="91"/>
        <v>0</v>
      </c>
      <c r="K493" s="168" t="str">
        <f t="shared" si="92"/>
        <v xml:space="preserve"> </v>
      </c>
      <c r="L493" s="147"/>
      <c r="M493" s="147"/>
      <c r="N493" s="147"/>
      <c r="O493" s="147"/>
      <c r="P493" s="147">
        <f>I493</f>
        <v>37173</v>
      </c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  <c r="AA493" s="147"/>
      <c r="AB493" s="147"/>
      <c r="AC493" s="147"/>
      <c r="AD493" s="132">
        <f t="shared" si="86"/>
        <v>37173</v>
      </c>
      <c r="AE493" s="132">
        <f t="shared" si="87"/>
        <v>37173</v>
      </c>
      <c r="AF493" s="150">
        <f t="shared" si="88"/>
        <v>0</v>
      </c>
    </row>
    <row r="494" spans="1:32" x14ac:dyDescent="0.25">
      <c r="A494" s="315" t="s">
        <v>1124</v>
      </c>
      <c r="B494" s="315" t="s">
        <v>794</v>
      </c>
      <c r="C494" s="314" t="str">
        <f t="shared" si="89"/>
        <v>A</v>
      </c>
      <c r="D494" s="146" t="str">
        <f t="shared" si="90"/>
        <v>1</v>
      </c>
      <c r="E494" s="147" t="s">
        <v>440</v>
      </c>
      <c r="F494" s="147" t="s">
        <v>320</v>
      </c>
      <c r="G494" s="147" t="s">
        <v>37</v>
      </c>
      <c r="H494" s="148" t="s">
        <v>279</v>
      </c>
      <c r="I494" s="316">
        <v>1000</v>
      </c>
      <c r="J494" s="170">
        <f t="shared" si="91"/>
        <v>0</v>
      </c>
      <c r="K494" s="168" t="str">
        <f t="shared" si="92"/>
        <v xml:space="preserve"> </v>
      </c>
      <c r="L494" s="147"/>
      <c r="M494" s="147"/>
      <c r="N494" s="147"/>
      <c r="O494" s="147"/>
      <c r="P494" s="147">
        <f>I494</f>
        <v>1000</v>
      </c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  <c r="AA494" s="147"/>
      <c r="AB494" s="147"/>
      <c r="AC494" s="147"/>
      <c r="AD494" s="132">
        <f t="shared" si="86"/>
        <v>1000</v>
      </c>
      <c r="AE494" s="132">
        <f t="shared" si="87"/>
        <v>1000</v>
      </c>
      <c r="AF494" s="150">
        <f t="shared" si="88"/>
        <v>0</v>
      </c>
    </row>
    <row r="495" spans="1:32" x14ac:dyDescent="0.25">
      <c r="A495" s="315" t="s">
        <v>938</v>
      </c>
      <c r="B495" s="315" t="s">
        <v>761</v>
      </c>
      <c r="C495" s="314" t="str">
        <f t="shared" si="89"/>
        <v>A</v>
      </c>
      <c r="D495" s="146" t="str">
        <f t="shared" si="90"/>
        <v>1</v>
      </c>
      <c r="E495" s="147" t="s">
        <v>260</v>
      </c>
      <c r="F495" s="147"/>
      <c r="G495" s="147"/>
      <c r="H495" s="148" t="s">
        <v>279</v>
      </c>
      <c r="I495" s="316">
        <v>259848</v>
      </c>
      <c r="J495" s="170">
        <f t="shared" si="91"/>
        <v>0</v>
      </c>
      <c r="K495" s="168">
        <f t="shared" si="92"/>
        <v>259848</v>
      </c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32">
        <f t="shared" si="86"/>
        <v>0</v>
      </c>
      <c r="AE495" s="132">
        <f t="shared" si="87"/>
        <v>259848</v>
      </c>
      <c r="AF495" s="150">
        <f t="shared" si="88"/>
        <v>0</v>
      </c>
    </row>
    <row r="496" spans="1:32" x14ac:dyDescent="0.25">
      <c r="A496" s="315" t="s">
        <v>854</v>
      </c>
      <c r="B496" s="315" t="s">
        <v>1191</v>
      </c>
      <c r="C496" s="314" t="str">
        <f t="shared" si="89"/>
        <v>A</v>
      </c>
      <c r="D496" s="146" t="str">
        <f t="shared" si="90"/>
        <v>1</v>
      </c>
      <c r="E496" s="147" t="s">
        <v>260</v>
      </c>
      <c r="F496" s="147"/>
      <c r="G496" s="147"/>
      <c r="H496" s="148" t="s">
        <v>279</v>
      </c>
      <c r="I496" s="316">
        <v>10000</v>
      </c>
      <c r="J496" s="170">
        <f t="shared" si="91"/>
        <v>0</v>
      </c>
      <c r="K496" s="168">
        <f t="shared" si="92"/>
        <v>10000</v>
      </c>
      <c r="L496" s="147"/>
      <c r="M496" s="147"/>
      <c r="N496" s="147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32">
        <f t="shared" si="86"/>
        <v>0</v>
      </c>
      <c r="AE496" s="132">
        <f t="shared" si="87"/>
        <v>10000</v>
      </c>
      <c r="AF496" s="150">
        <f t="shared" si="88"/>
        <v>0</v>
      </c>
    </row>
    <row r="497" spans="1:32" x14ac:dyDescent="0.25">
      <c r="A497" s="315" t="s">
        <v>642</v>
      </c>
      <c r="B497" s="315" t="s">
        <v>1627</v>
      </c>
      <c r="C497" s="314" t="str">
        <f t="shared" si="89"/>
        <v>A</v>
      </c>
      <c r="D497" s="146" t="str">
        <f t="shared" si="90"/>
        <v>2</v>
      </c>
      <c r="E497" s="147" t="s">
        <v>440</v>
      </c>
      <c r="F497" s="147" t="s">
        <v>323</v>
      </c>
      <c r="G497" s="147" t="s">
        <v>37</v>
      </c>
      <c r="H497" s="148" t="s">
        <v>279</v>
      </c>
      <c r="I497" s="316">
        <v>1200</v>
      </c>
      <c r="J497" s="170">
        <f t="shared" si="91"/>
        <v>0</v>
      </c>
      <c r="K497" s="168" t="str">
        <f t="shared" si="92"/>
        <v xml:space="preserve"> </v>
      </c>
      <c r="L497" s="147">
        <f>I497</f>
        <v>1200</v>
      </c>
      <c r="M497" s="147"/>
      <c r="N497" s="147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32">
        <f t="shared" si="86"/>
        <v>1200</v>
      </c>
      <c r="AE497" s="132">
        <f t="shared" si="87"/>
        <v>1200</v>
      </c>
      <c r="AF497" s="150">
        <f t="shared" si="88"/>
        <v>0</v>
      </c>
    </row>
    <row r="498" spans="1:32" x14ac:dyDescent="0.25">
      <c r="A498" s="315" t="s">
        <v>1414</v>
      </c>
      <c r="B498" s="315" t="s">
        <v>581</v>
      </c>
      <c r="C498" s="314" t="str">
        <f t="shared" si="89"/>
        <v>A</v>
      </c>
      <c r="D498" s="146" t="str">
        <f t="shared" si="90"/>
        <v>2</v>
      </c>
      <c r="E498" s="147" t="s">
        <v>440</v>
      </c>
      <c r="F498" s="147" t="s">
        <v>323</v>
      </c>
      <c r="G498" s="147" t="s">
        <v>37</v>
      </c>
      <c r="H498" s="148" t="s">
        <v>279</v>
      </c>
      <c r="I498" s="316">
        <v>240</v>
      </c>
      <c r="J498" s="170">
        <f t="shared" si="91"/>
        <v>0</v>
      </c>
      <c r="K498" s="168" t="str">
        <f t="shared" si="92"/>
        <v xml:space="preserve"> </v>
      </c>
      <c r="L498" s="147"/>
      <c r="M498" s="147"/>
      <c r="N498" s="147">
        <f>I498</f>
        <v>240</v>
      </c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  <c r="AA498" s="147"/>
      <c r="AB498" s="147"/>
      <c r="AC498" s="147"/>
      <c r="AD498" s="132">
        <f t="shared" si="86"/>
        <v>240</v>
      </c>
      <c r="AE498" s="132">
        <f t="shared" si="87"/>
        <v>240</v>
      </c>
      <c r="AF498" s="150">
        <f t="shared" si="88"/>
        <v>0</v>
      </c>
    </row>
    <row r="499" spans="1:32" x14ac:dyDescent="0.25">
      <c r="A499" s="315" t="s">
        <v>1004</v>
      </c>
      <c r="B499" s="315" t="s">
        <v>545</v>
      </c>
      <c r="C499" s="314" t="str">
        <f t="shared" si="89"/>
        <v>A</v>
      </c>
      <c r="D499" s="146" t="str">
        <f t="shared" si="90"/>
        <v>2</v>
      </c>
      <c r="E499" s="147" t="s">
        <v>440</v>
      </c>
      <c r="F499" s="147" t="s">
        <v>323</v>
      </c>
      <c r="G499" s="147" t="s">
        <v>37</v>
      </c>
      <c r="H499" s="148" t="s">
        <v>279</v>
      </c>
      <c r="I499" s="316">
        <v>800</v>
      </c>
      <c r="J499" s="170">
        <f t="shared" si="91"/>
        <v>0</v>
      </c>
      <c r="K499" s="168" t="str">
        <f t="shared" si="92"/>
        <v xml:space="preserve"> </v>
      </c>
      <c r="L499" s="147"/>
      <c r="M499" s="147"/>
      <c r="N499" s="147"/>
      <c r="O499" s="147">
        <f>I499</f>
        <v>800</v>
      </c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  <c r="AA499" s="147"/>
      <c r="AB499" s="147"/>
      <c r="AC499" s="147"/>
      <c r="AD499" s="132">
        <f t="shared" si="86"/>
        <v>800</v>
      </c>
      <c r="AE499" s="132">
        <f t="shared" si="87"/>
        <v>800</v>
      </c>
      <c r="AF499" s="150">
        <f t="shared" si="88"/>
        <v>0</v>
      </c>
    </row>
    <row r="500" spans="1:32" x14ac:dyDescent="0.25">
      <c r="A500" s="315" t="s">
        <v>1388</v>
      </c>
      <c r="B500" s="315" t="s">
        <v>901</v>
      </c>
      <c r="C500" s="314" t="str">
        <f t="shared" si="89"/>
        <v>A</v>
      </c>
      <c r="D500" s="146" t="str">
        <f t="shared" si="90"/>
        <v>2</v>
      </c>
      <c r="E500" s="147" t="s">
        <v>440</v>
      </c>
      <c r="F500" s="147" t="s">
        <v>323</v>
      </c>
      <c r="G500" s="147" t="s">
        <v>37</v>
      </c>
      <c r="H500" s="148" t="s">
        <v>279</v>
      </c>
      <c r="I500" s="316">
        <v>20000</v>
      </c>
      <c r="J500" s="170">
        <f t="shared" si="91"/>
        <v>0</v>
      </c>
      <c r="K500" s="168" t="str">
        <f t="shared" si="92"/>
        <v xml:space="preserve"> </v>
      </c>
      <c r="L500" s="147">
        <f>$I$500*L7</f>
        <v>6524.8691099476446</v>
      </c>
      <c r="M500" s="147">
        <f t="shared" ref="M500:P500" si="96">$I$500*M7</f>
        <v>4712.0418848167537</v>
      </c>
      <c r="N500" s="147">
        <f t="shared" si="96"/>
        <v>2807.5916230366493</v>
      </c>
      <c r="O500" s="147">
        <f t="shared" si="96"/>
        <v>2873.0366492146595</v>
      </c>
      <c r="P500" s="147">
        <f t="shared" si="96"/>
        <v>3082.4607329842934</v>
      </c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  <c r="AA500" s="147"/>
      <c r="AB500" s="147"/>
      <c r="AC500" s="147"/>
      <c r="AD500" s="132">
        <f t="shared" si="86"/>
        <v>20000.000000000004</v>
      </c>
      <c r="AE500" s="132">
        <f t="shared" si="87"/>
        <v>20000.000000000004</v>
      </c>
      <c r="AF500" s="150">
        <f t="shared" si="88"/>
        <v>0</v>
      </c>
    </row>
    <row r="501" spans="1:32" x14ac:dyDescent="0.25">
      <c r="A501" s="315" t="s">
        <v>1459</v>
      </c>
      <c r="B501" s="315" t="s">
        <v>875</v>
      </c>
      <c r="C501" s="314" t="str">
        <f t="shared" si="89"/>
        <v>A</v>
      </c>
      <c r="D501" s="146" t="str">
        <f t="shared" si="90"/>
        <v>2</v>
      </c>
      <c r="E501" s="147" t="s">
        <v>440</v>
      </c>
      <c r="F501" s="147" t="s">
        <v>323</v>
      </c>
      <c r="G501" s="147" t="s">
        <v>37</v>
      </c>
      <c r="H501" s="148" t="s">
        <v>279</v>
      </c>
      <c r="I501" s="316">
        <v>16000</v>
      </c>
      <c r="J501" s="170">
        <f t="shared" si="91"/>
        <v>0</v>
      </c>
      <c r="K501" s="168" t="str">
        <f t="shared" si="92"/>
        <v xml:space="preserve"> </v>
      </c>
      <c r="L501" s="147">
        <f>I501</f>
        <v>16000</v>
      </c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32">
        <f t="shared" si="86"/>
        <v>16000</v>
      </c>
      <c r="AE501" s="132">
        <f t="shared" si="87"/>
        <v>16000</v>
      </c>
      <c r="AF501" s="150">
        <f t="shared" si="88"/>
        <v>0</v>
      </c>
    </row>
    <row r="502" spans="1:32" x14ac:dyDescent="0.25">
      <c r="A502" s="315" t="s">
        <v>1439</v>
      </c>
      <c r="B502" s="315" t="s">
        <v>741</v>
      </c>
      <c r="C502" s="314" t="str">
        <f t="shared" si="89"/>
        <v>A</v>
      </c>
      <c r="D502" s="146" t="str">
        <f t="shared" si="90"/>
        <v>2</v>
      </c>
      <c r="E502" s="147" t="s">
        <v>440</v>
      </c>
      <c r="F502" s="147" t="s">
        <v>323</v>
      </c>
      <c r="G502" s="147" t="s">
        <v>37</v>
      </c>
      <c r="H502" s="148" t="s">
        <v>279</v>
      </c>
      <c r="I502" s="316">
        <v>12000</v>
      </c>
      <c r="J502" s="170">
        <f t="shared" si="91"/>
        <v>0</v>
      </c>
      <c r="K502" s="168" t="str">
        <f t="shared" si="92"/>
        <v xml:space="preserve"> </v>
      </c>
      <c r="L502" s="147"/>
      <c r="M502" s="147">
        <f>I502</f>
        <v>12000</v>
      </c>
      <c r="N502" s="147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  <c r="AA502" s="147"/>
      <c r="AB502" s="147"/>
      <c r="AC502" s="147"/>
      <c r="AD502" s="132">
        <f t="shared" si="86"/>
        <v>12000</v>
      </c>
      <c r="AE502" s="132">
        <f t="shared" si="87"/>
        <v>12000</v>
      </c>
      <c r="AF502" s="150">
        <f t="shared" si="88"/>
        <v>0</v>
      </c>
    </row>
    <row r="503" spans="1:32" x14ac:dyDescent="0.25">
      <c r="A503" s="315" t="s">
        <v>1579</v>
      </c>
      <c r="B503" s="315" t="s">
        <v>871</v>
      </c>
      <c r="C503" s="314" t="str">
        <f t="shared" si="89"/>
        <v>A</v>
      </c>
      <c r="D503" s="146" t="str">
        <f t="shared" si="90"/>
        <v>2</v>
      </c>
      <c r="E503" s="147" t="s">
        <v>440</v>
      </c>
      <c r="F503" s="147" t="s">
        <v>323</v>
      </c>
      <c r="G503" s="147" t="s">
        <v>37</v>
      </c>
      <c r="H503" s="148" t="s">
        <v>279</v>
      </c>
      <c r="I503" s="316">
        <v>7333</v>
      </c>
      <c r="J503" s="170">
        <f t="shared" si="91"/>
        <v>0</v>
      </c>
      <c r="K503" s="168" t="str">
        <f t="shared" si="92"/>
        <v xml:space="preserve"> </v>
      </c>
      <c r="L503" s="147"/>
      <c r="M503" s="147"/>
      <c r="N503" s="147">
        <f>I503</f>
        <v>7333</v>
      </c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32">
        <f t="shared" si="86"/>
        <v>7333</v>
      </c>
      <c r="AE503" s="132">
        <f t="shared" si="87"/>
        <v>7333</v>
      </c>
      <c r="AF503" s="150">
        <f t="shared" si="88"/>
        <v>0</v>
      </c>
    </row>
    <row r="504" spans="1:32" x14ac:dyDescent="0.25">
      <c r="A504" s="315" t="s">
        <v>1713</v>
      </c>
      <c r="B504" s="315" t="s">
        <v>1730</v>
      </c>
      <c r="C504" s="314" t="str">
        <f t="shared" si="89"/>
        <v>A</v>
      </c>
      <c r="D504" s="146" t="str">
        <f t="shared" si="90"/>
        <v>2</v>
      </c>
      <c r="E504" s="147" t="s">
        <v>440</v>
      </c>
      <c r="F504" s="147" t="s">
        <v>323</v>
      </c>
      <c r="G504" s="147" t="s">
        <v>37</v>
      </c>
      <c r="H504" s="148" t="s">
        <v>279</v>
      </c>
      <c r="I504" s="316">
        <v>7333</v>
      </c>
      <c r="J504" s="170">
        <f t="shared" si="91"/>
        <v>0</v>
      </c>
      <c r="K504" s="168" t="str">
        <f t="shared" si="92"/>
        <v xml:space="preserve"> </v>
      </c>
      <c r="L504" s="147"/>
      <c r="M504" s="147"/>
      <c r="N504" s="147"/>
      <c r="O504" s="147">
        <f>I504</f>
        <v>7333</v>
      </c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32">
        <f t="shared" si="86"/>
        <v>7333</v>
      </c>
      <c r="AE504" s="132">
        <f t="shared" si="87"/>
        <v>7333</v>
      </c>
      <c r="AF504" s="150">
        <f t="shared" si="88"/>
        <v>0</v>
      </c>
    </row>
    <row r="505" spans="1:32" x14ac:dyDescent="0.25">
      <c r="A505" s="315" t="s">
        <v>1247</v>
      </c>
      <c r="B505" s="315" t="s">
        <v>788</v>
      </c>
      <c r="C505" s="314" t="str">
        <f t="shared" si="89"/>
        <v>A</v>
      </c>
      <c r="D505" s="146" t="str">
        <f t="shared" si="90"/>
        <v>2</v>
      </c>
      <c r="E505" s="147" t="s">
        <v>440</v>
      </c>
      <c r="F505" s="147" t="s">
        <v>323</v>
      </c>
      <c r="G505" s="147" t="s">
        <v>37</v>
      </c>
      <c r="H505" s="148" t="s">
        <v>279</v>
      </c>
      <c r="I505" s="316">
        <v>7334</v>
      </c>
      <c r="J505" s="170">
        <f t="shared" si="91"/>
        <v>0</v>
      </c>
      <c r="K505" s="168" t="str">
        <f t="shared" si="92"/>
        <v xml:space="preserve"> </v>
      </c>
      <c r="L505" s="147"/>
      <c r="M505" s="147"/>
      <c r="N505" s="147"/>
      <c r="O505" s="147"/>
      <c r="P505" s="147">
        <f>I505</f>
        <v>7334</v>
      </c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32">
        <f t="shared" si="86"/>
        <v>7334</v>
      </c>
      <c r="AE505" s="132">
        <f t="shared" si="87"/>
        <v>7334</v>
      </c>
      <c r="AF505" s="150">
        <f t="shared" si="88"/>
        <v>0</v>
      </c>
    </row>
    <row r="506" spans="1:32" x14ac:dyDescent="0.25">
      <c r="A506" s="315" t="s">
        <v>1570</v>
      </c>
      <c r="B506" s="315" t="s">
        <v>771</v>
      </c>
      <c r="C506" s="314" t="str">
        <f t="shared" si="89"/>
        <v>A</v>
      </c>
      <c r="D506" s="146" t="str">
        <f t="shared" si="90"/>
        <v>4</v>
      </c>
      <c r="E506" s="147" t="s">
        <v>440</v>
      </c>
      <c r="F506" s="147" t="s">
        <v>323</v>
      </c>
      <c r="G506" s="147" t="s">
        <v>37</v>
      </c>
      <c r="H506" s="148" t="s">
        <v>279</v>
      </c>
      <c r="I506" s="316">
        <v>0</v>
      </c>
      <c r="J506" s="170">
        <f t="shared" si="91"/>
        <v>0</v>
      </c>
      <c r="K506" s="168" t="str">
        <f t="shared" si="92"/>
        <v xml:space="preserve"> </v>
      </c>
      <c r="L506" s="147">
        <f>I506</f>
        <v>0</v>
      </c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32">
        <f t="shared" si="86"/>
        <v>0</v>
      </c>
      <c r="AE506" s="132">
        <f t="shared" si="87"/>
        <v>0</v>
      </c>
      <c r="AF506" s="150">
        <f t="shared" si="88"/>
        <v>0</v>
      </c>
    </row>
    <row r="507" spans="1:32" x14ac:dyDescent="0.25">
      <c r="A507" s="315" t="s">
        <v>1297</v>
      </c>
      <c r="B507" s="315" t="s">
        <v>771</v>
      </c>
      <c r="C507" s="314" t="str">
        <f t="shared" si="89"/>
        <v>A</v>
      </c>
      <c r="D507" s="146" t="str">
        <f t="shared" si="90"/>
        <v>4</v>
      </c>
      <c r="E507" s="147" t="s">
        <v>440</v>
      </c>
      <c r="F507" s="147" t="s">
        <v>323</v>
      </c>
      <c r="G507" s="147" t="s">
        <v>37</v>
      </c>
      <c r="H507" s="148" t="s">
        <v>279</v>
      </c>
      <c r="I507" s="316">
        <v>25000</v>
      </c>
      <c r="J507" s="170">
        <f t="shared" si="91"/>
        <v>0</v>
      </c>
      <c r="K507" s="168" t="str">
        <f t="shared" si="92"/>
        <v xml:space="preserve"> </v>
      </c>
      <c r="L507" s="147">
        <f>$I$507*L7</f>
        <v>8156.086387434555</v>
      </c>
      <c r="M507" s="147">
        <f t="shared" ref="M507:P507" si="97">$I$507*M7</f>
        <v>5890.0523560209422</v>
      </c>
      <c r="N507" s="147">
        <f t="shared" si="97"/>
        <v>3509.4895287958116</v>
      </c>
      <c r="O507" s="147">
        <f t="shared" si="97"/>
        <v>3591.2958115183246</v>
      </c>
      <c r="P507" s="147">
        <f t="shared" si="97"/>
        <v>3853.0759162303666</v>
      </c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32">
        <f t="shared" si="86"/>
        <v>24999.999999999996</v>
      </c>
      <c r="AE507" s="132">
        <f t="shared" si="87"/>
        <v>24999.999999999996</v>
      </c>
      <c r="AF507" s="150">
        <f t="shared" si="88"/>
        <v>0</v>
      </c>
    </row>
    <row r="508" spans="1:32" x14ac:dyDescent="0.25">
      <c r="A508" s="315" t="s">
        <v>800</v>
      </c>
      <c r="B508" s="315" t="s">
        <v>473</v>
      </c>
      <c r="C508" s="314" t="str">
        <f t="shared" si="89"/>
        <v>A</v>
      </c>
      <c r="D508" s="146" t="str">
        <f t="shared" si="90"/>
        <v>4</v>
      </c>
      <c r="E508" s="147" t="s">
        <v>440</v>
      </c>
      <c r="F508" s="147" t="s">
        <v>323</v>
      </c>
      <c r="G508" s="147" t="s">
        <v>37</v>
      </c>
      <c r="H508" s="148" t="s">
        <v>279</v>
      </c>
      <c r="I508" s="316">
        <v>240</v>
      </c>
      <c r="J508" s="170">
        <f t="shared" si="91"/>
        <v>0</v>
      </c>
      <c r="K508" s="168" t="str">
        <f t="shared" si="92"/>
        <v xml:space="preserve"> </v>
      </c>
      <c r="L508" s="147"/>
      <c r="M508" s="147"/>
      <c r="N508" s="147">
        <f>I508</f>
        <v>240</v>
      </c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32">
        <f t="shared" si="86"/>
        <v>240</v>
      </c>
      <c r="AE508" s="132">
        <f t="shared" si="87"/>
        <v>240</v>
      </c>
      <c r="AF508" s="150">
        <f t="shared" si="88"/>
        <v>0</v>
      </c>
    </row>
    <row r="509" spans="1:32" x14ac:dyDescent="0.25">
      <c r="A509" s="315" t="s">
        <v>515</v>
      </c>
      <c r="B509" s="315" t="s">
        <v>655</v>
      </c>
      <c r="C509" s="314" t="str">
        <f t="shared" si="89"/>
        <v>A</v>
      </c>
      <c r="D509" s="146" t="str">
        <f t="shared" si="90"/>
        <v>4</v>
      </c>
      <c r="E509" s="147" t="s">
        <v>440</v>
      </c>
      <c r="F509" s="147" t="s">
        <v>323</v>
      </c>
      <c r="G509" s="147" t="s">
        <v>37</v>
      </c>
      <c r="H509" s="148" t="s">
        <v>279</v>
      </c>
      <c r="I509" s="316">
        <v>2160</v>
      </c>
      <c r="J509" s="170">
        <f t="shared" si="91"/>
        <v>0</v>
      </c>
      <c r="K509" s="168" t="str">
        <f t="shared" si="92"/>
        <v xml:space="preserve"> </v>
      </c>
      <c r="L509" s="147"/>
      <c r="M509" s="147"/>
      <c r="N509" s="147"/>
      <c r="O509" s="147">
        <f>I509</f>
        <v>2160</v>
      </c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32">
        <f t="shared" si="86"/>
        <v>2160</v>
      </c>
      <c r="AE509" s="132">
        <f t="shared" si="87"/>
        <v>2160</v>
      </c>
      <c r="AF509" s="150">
        <f t="shared" si="88"/>
        <v>0</v>
      </c>
    </row>
    <row r="510" spans="1:32" x14ac:dyDescent="0.25">
      <c r="A510" s="315" t="s">
        <v>651</v>
      </c>
      <c r="B510" s="315" t="s">
        <v>898</v>
      </c>
      <c r="C510" s="314" t="str">
        <f t="shared" si="89"/>
        <v>A</v>
      </c>
      <c r="D510" s="146" t="str">
        <f t="shared" si="90"/>
        <v>4</v>
      </c>
      <c r="E510" s="147" t="s">
        <v>440</v>
      </c>
      <c r="F510" s="147" t="s">
        <v>323</v>
      </c>
      <c r="G510" s="147" t="s">
        <v>37</v>
      </c>
      <c r="H510" s="148" t="s">
        <v>279</v>
      </c>
      <c r="I510" s="316">
        <v>3600</v>
      </c>
      <c r="J510" s="170">
        <f t="shared" si="91"/>
        <v>0</v>
      </c>
      <c r="K510" s="168" t="str">
        <f t="shared" si="92"/>
        <v xml:space="preserve"> </v>
      </c>
      <c r="L510" s="147"/>
      <c r="M510" s="147"/>
      <c r="N510" s="147"/>
      <c r="O510" s="147"/>
      <c r="P510" s="147">
        <f>I510</f>
        <v>3600</v>
      </c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32">
        <f t="shared" si="86"/>
        <v>3600</v>
      </c>
      <c r="AE510" s="132">
        <f t="shared" si="87"/>
        <v>3600</v>
      </c>
      <c r="AF510" s="150">
        <f t="shared" si="88"/>
        <v>0</v>
      </c>
    </row>
    <row r="511" spans="1:32" x14ac:dyDescent="0.25">
      <c r="A511" s="315" t="s">
        <v>1230</v>
      </c>
      <c r="B511" s="315" t="s">
        <v>1493</v>
      </c>
      <c r="C511" s="314" t="str">
        <f t="shared" si="89"/>
        <v>A</v>
      </c>
      <c r="D511" s="146" t="str">
        <f t="shared" si="90"/>
        <v>4</v>
      </c>
      <c r="E511" s="147" t="s">
        <v>440</v>
      </c>
      <c r="F511" s="147" t="s">
        <v>323</v>
      </c>
      <c r="G511" s="147" t="s">
        <v>37</v>
      </c>
      <c r="H511" s="148" t="s">
        <v>279</v>
      </c>
      <c r="I511" s="316">
        <v>0</v>
      </c>
      <c r="J511" s="170">
        <f t="shared" si="91"/>
        <v>0</v>
      </c>
      <c r="K511" s="168" t="str">
        <f t="shared" si="92"/>
        <v xml:space="preserve"> </v>
      </c>
      <c r="L511" s="147">
        <f>I511</f>
        <v>0</v>
      </c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32">
        <f t="shared" si="86"/>
        <v>0</v>
      </c>
      <c r="AE511" s="132">
        <f t="shared" si="87"/>
        <v>0</v>
      </c>
      <c r="AF511" s="150">
        <f t="shared" si="88"/>
        <v>0</v>
      </c>
    </row>
    <row r="512" spans="1:32" x14ac:dyDescent="0.25">
      <c r="A512" s="315" t="s">
        <v>637</v>
      </c>
      <c r="B512" s="315" t="s">
        <v>476</v>
      </c>
      <c r="C512" s="314" t="str">
        <f t="shared" si="89"/>
        <v>A</v>
      </c>
      <c r="D512" s="146" t="str">
        <f t="shared" si="90"/>
        <v>4</v>
      </c>
      <c r="E512" s="147" t="s">
        <v>440</v>
      </c>
      <c r="F512" s="147" t="s">
        <v>323</v>
      </c>
      <c r="G512" s="147" t="s">
        <v>37</v>
      </c>
      <c r="H512" s="148" t="s">
        <v>279</v>
      </c>
      <c r="I512" s="316">
        <v>10000</v>
      </c>
      <c r="J512" s="170">
        <f t="shared" si="91"/>
        <v>0</v>
      </c>
      <c r="K512" s="168" t="str">
        <f t="shared" si="92"/>
        <v xml:space="preserve"> </v>
      </c>
      <c r="L512" s="147">
        <f>$I$512*L7</f>
        <v>3262.4345549738223</v>
      </c>
      <c r="M512" s="147">
        <f t="shared" ref="M512:P512" si="98">$I$512*M7</f>
        <v>2356.0209424083769</v>
      </c>
      <c r="N512" s="147">
        <f t="shared" si="98"/>
        <v>1403.7958115183246</v>
      </c>
      <c r="O512" s="147">
        <f t="shared" si="98"/>
        <v>1436.5183246073298</v>
      </c>
      <c r="P512" s="147">
        <f t="shared" si="98"/>
        <v>1541.2303664921467</v>
      </c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32">
        <f t="shared" si="86"/>
        <v>10000.000000000002</v>
      </c>
      <c r="AE512" s="132">
        <f t="shared" si="87"/>
        <v>10000.000000000002</v>
      </c>
      <c r="AF512" s="150">
        <f t="shared" si="88"/>
        <v>0</v>
      </c>
    </row>
    <row r="513" spans="1:32" x14ac:dyDescent="0.25">
      <c r="A513" s="315" t="s">
        <v>1389</v>
      </c>
      <c r="B513" s="315" t="s">
        <v>742</v>
      </c>
      <c r="C513" s="314" t="str">
        <f t="shared" si="89"/>
        <v>A</v>
      </c>
      <c r="D513" s="146" t="str">
        <f t="shared" si="90"/>
        <v>4</v>
      </c>
      <c r="E513" s="147" t="s">
        <v>440</v>
      </c>
      <c r="F513" s="147" t="s">
        <v>323</v>
      </c>
      <c r="G513" s="147" t="s">
        <v>37</v>
      </c>
      <c r="H513" s="148" t="s">
        <v>279</v>
      </c>
      <c r="I513" s="316">
        <v>1960</v>
      </c>
      <c r="J513" s="170">
        <f t="shared" si="91"/>
        <v>0</v>
      </c>
      <c r="K513" s="168" t="str">
        <f t="shared" si="92"/>
        <v xml:space="preserve"> </v>
      </c>
      <c r="L513" s="147">
        <f>I513</f>
        <v>1960</v>
      </c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32">
        <f t="shared" si="86"/>
        <v>1960</v>
      </c>
      <c r="AE513" s="132">
        <f t="shared" si="87"/>
        <v>1960</v>
      </c>
      <c r="AF513" s="150">
        <f t="shared" si="88"/>
        <v>0</v>
      </c>
    </row>
    <row r="514" spans="1:32" x14ac:dyDescent="0.25">
      <c r="A514" s="315" t="s">
        <v>579</v>
      </c>
      <c r="B514" s="315" t="s">
        <v>1432</v>
      </c>
      <c r="C514" s="314" t="str">
        <f t="shared" si="89"/>
        <v>A</v>
      </c>
      <c r="D514" s="146" t="str">
        <f t="shared" si="90"/>
        <v>4</v>
      </c>
      <c r="E514" s="147" t="s">
        <v>440</v>
      </c>
      <c r="F514" s="147" t="s">
        <v>323</v>
      </c>
      <c r="G514" s="147" t="s">
        <v>37</v>
      </c>
      <c r="H514" s="148" t="s">
        <v>279</v>
      </c>
      <c r="I514" s="316">
        <v>2400</v>
      </c>
      <c r="J514" s="170">
        <f t="shared" si="91"/>
        <v>0</v>
      </c>
      <c r="K514" s="168" t="str">
        <f t="shared" si="92"/>
        <v xml:space="preserve"> </v>
      </c>
      <c r="L514" s="147"/>
      <c r="M514" s="147">
        <f>I514</f>
        <v>2400</v>
      </c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32">
        <f t="shared" si="86"/>
        <v>2400</v>
      </c>
      <c r="AE514" s="132">
        <f t="shared" si="87"/>
        <v>2400</v>
      </c>
      <c r="AF514" s="150">
        <f t="shared" si="88"/>
        <v>0</v>
      </c>
    </row>
    <row r="515" spans="1:32" x14ac:dyDescent="0.25">
      <c r="A515" s="315" t="s">
        <v>1614</v>
      </c>
      <c r="B515" s="315" t="s">
        <v>1557</v>
      </c>
      <c r="C515" s="314" t="str">
        <f t="shared" si="89"/>
        <v>A</v>
      </c>
      <c r="D515" s="146" t="str">
        <f t="shared" si="90"/>
        <v>4</v>
      </c>
      <c r="E515" s="147" t="s">
        <v>440</v>
      </c>
      <c r="F515" s="147" t="s">
        <v>323</v>
      </c>
      <c r="G515" s="147" t="s">
        <v>37</v>
      </c>
      <c r="H515" s="148" t="s">
        <v>279</v>
      </c>
      <c r="I515" s="316">
        <v>40</v>
      </c>
      <c r="J515" s="170">
        <f t="shared" si="91"/>
        <v>0</v>
      </c>
      <c r="K515" s="168" t="str">
        <f t="shared" si="92"/>
        <v xml:space="preserve"> </v>
      </c>
      <c r="L515" s="147"/>
      <c r="M515" s="147">
        <f>I515</f>
        <v>40</v>
      </c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32">
        <f t="shared" si="86"/>
        <v>40</v>
      </c>
      <c r="AE515" s="132">
        <f t="shared" si="87"/>
        <v>40</v>
      </c>
      <c r="AF515" s="150">
        <f t="shared" si="88"/>
        <v>0</v>
      </c>
    </row>
    <row r="516" spans="1:32" x14ac:dyDescent="0.25">
      <c r="A516" s="315" t="s">
        <v>958</v>
      </c>
      <c r="B516" s="315" t="s">
        <v>1432</v>
      </c>
      <c r="C516" s="314" t="str">
        <f t="shared" si="89"/>
        <v>A</v>
      </c>
      <c r="D516" s="146" t="str">
        <f t="shared" si="90"/>
        <v>4</v>
      </c>
      <c r="E516" s="147" t="s">
        <v>440</v>
      </c>
      <c r="F516" s="147" t="s">
        <v>323</v>
      </c>
      <c r="G516" s="147" t="s">
        <v>37</v>
      </c>
      <c r="H516" s="148" t="s">
        <v>279</v>
      </c>
      <c r="I516" s="316">
        <v>800</v>
      </c>
      <c r="J516" s="170">
        <f t="shared" si="91"/>
        <v>0</v>
      </c>
      <c r="K516" s="168" t="str">
        <f t="shared" si="92"/>
        <v xml:space="preserve"> </v>
      </c>
      <c r="L516" s="147"/>
      <c r="M516" s="147"/>
      <c r="N516" s="147"/>
      <c r="O516" s="147">
        <f>I516</f>
        <v>800</v>
      </c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32">
        <f t="shared" si="86"/>
        <v>800</v>
      </c>
      <c r="AE516" s="132">
        <f t="shared" si="87"/>
        <v>800</v>
      </c>
      <c r="AF516" s="150">
        <f t="shared" si="88"/>
        <v>0</v>
      </c>
    </row>
    <row r="517" spans="1:32" x14ac:dyDescent="0.25">
      <c r="A517" s="315" t="s">
        <v>1709</v>
      </c>
      <c r="B517" s="315" t="s">
        <v>1276</v>
      </c>
      <c r="C517" s="314" t="str">
        <f t="shared" si="89"/>
        <v>A</v>
      </c>
      <c r="D517" s="146" t="str">
        <f t="shared" si="90"/>
        <v>4</v>
      </c>
      <c r="E517" s="147" t="s">
        <v>440</v>
      </c>
      <c r="F517" s="147" t="s">
        <v>323</v>
      </c>
      <c r="G517" s="147" t="s">
        <v>37</v>
      </c>
      <c r="H517" s="148" t="s">
        <v>279</v>
      </c>
      <c r="I517" s="316">
        <v>0</v>
      </c>
      <c r="J517" s="170">
        <f t="shared" si="91"/>
        <v>0</v>
      </c>
      <c r="K517" s="168" t="str">
        <f t="shared" si="92"/>
        <v xml:space="preserve"> </v>
      </c>
      <c r="L517" s="147">
        <f>I517</f>
        <v>0</v>
      </c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32">
        <f t="shared" si="86"/>
        <v>0</v>
      </c>
      <c r="AE517" s="132">
        <f t="shared" si="87"/>
        <v>0</v>
      </c>
      <c r="AF517" s="150">
        <f t="shared" si="88"/>
        <v>0</v>
      </c>
    </row>
    <row r="518" spans="1:32" x14ac:dyDescent="0.25">
      <c r="A518" s="315" t="s">
        <v>1680</v>
      </c>
      <c r="B518" s="315" t="s">
        <v>1190</v>
      </c>
      <c r="C518" s="314" t="str">
        <f t="shared" si="89"/>
        <v>A</v>
      </c>
      <c r="D518" s="146" t="str">
        <f t="shared" si="90"/>
        <v>4</v>
      </c>
      <c r="E518" s="147" t="s">
        <v>440</v>
      </c>
      <c r="F518" s="147" t="s">
        <v>323</v>
      </c>
      <c r="G518" s="147" t="s">
        <v>37</v>
      </c>
      <c r="H518" s="148" t="s">
        <v>279</v>
      </c>
      <c r="I518" s="316">
        <v>12500</v>
      </c>
      <c r="J518" s="170">
        <f t="shared" si="91"/>
        <v>0</v>
      </c>
      <c r="K518" s="168" t="str">
        <f t="shared" si="92"/>
        <v xml:space="preserve"> </v>
      </c>
      <c r="L518" s="147">
        <f>$I$518*L7</f>
        <v>4078.0431937172775</v>
      </c>
      <c r="M518" s="147">
        <f t="shared" ref="M518:P518" si="99">$I$518*M7</f>
        <v>2945.0261780104711</v>
      </c>
      <c r="N518" s="147">
        <f t="shared" si="99"/>
        <v>1754.7447643979058</v>
      </c>
      <c r="O518" s="147">
        <f t="shared" si="99"/>
        <v>1795.6479057591623</v>
      </c>
      <c r="P518" s="147">
        <f t="shared" si="99"/>
        <v>1926.5379581151833</v>
      </c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32">
        <f t="shared" si="86"/>
        <v>12499.999999999998</v>
      </c>
      <c r="AE518" s="132">
        <f t="shared" si="87"/>
        <v>12499.999999999998</v>
      </c>
      <c r="AF518" s="150">
        <f t="shared" si="88"/>
        <v>0</v>
      </c>
    </row>
    <row r="519" spans="1:32" x14ac:dyDescent="0.25">
      <c r="A519" s="315" t="s">
        <v>1721</v>
      </c>
      <c r="B519" s="315" t="s">
        <v>1757</v>
      </c>
      <c r="C519" s="314" t="str">
        <f t="shared" si="89"/>
        <v>A</v>
      </c>
      <c r="D519" s="146" t="str">
        <f t="shared" si="90"/>
        <v>4</v>
      </c>
      <c r="E519" s="147" t="s">
        <v>440</v>
      </c>
      <c r="F519" s="147" t="s">
        <v>323</v>
      </c>
      <c r="G519" s="147" t="s">
        <v>37</v>
      </c>
      <c r="H519" s="148" t="s">
        <v>279</v>
      </c>
      <c r="I519" s="316">
        <v>400</v>
      </c>
      <c r="J519" s="170">
        <f t="shared" si="91"/>
        <v>0</v>
      </c>
      <c r="K519" s="168" t="str">
        <f t="shared" si="92"/>
        <v xml:space="preserve"> </v>
      </c>
      <c r="L519" s="147">
        <f>$I$519*L7</f>
        <v>130.49738219895289</v>
      </c>
      <c r="M519" s="147">
        <f t="shared" ref="M519:P519" si="100">$I$519*M7</f>
        <v>94.240837696335078</v>
      </c>
      <c r="N519" s="147">
        <f t="shared" si="100"/>
        <v>56.15183246073299</v>
      </c>
      <c r="O519" s="147">
        <f t="shared" si="100"/>
        <v>57.460732984293195</v>
      </c>
      <c r="P519" s="147">
        <f t="shared" si="100"/>
        <v>61.649214659685867</v>
      </c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32">
        <f t="shared" ref="AD519:AD582" si="101">SUM(L519:AC519)</f>
        <v>400</v>
      </c>
      <c r="AE519" s="132">
        <f t="shared" ref="AE519:AE582" si="102">SUM(J519,K519,AD519)</f>
        <v>400</v>
      </c>
      <c r="AF519" s="150">
        <f t="shared" ref="AF519:AF582" si="103">+I519-AE519</f>
        <v>0</v>
      </c>
    </row>
    <row r="520" spans="1:32" x14ac:dyDescent="0.25">
      <c r="A520" s="315" t="s">
        <v>748</v>
      </c>
      <c r="B520" s="315" t="s">
        <v>1146</v>
      </c>
      <c r="C520" s="314" t="str">
        <f t="shared" ref="C520:C583" si="104">CONCATENATE(MID(A520,1,1))</f>
        <v>A</v>
      </c>
      <c r="D520" s="146" t="str">
        <f t="shared" ref="D520:D583" si="105">CONCATENATE(MID(A520,8,1))</f>
        <v>4</v>
      </c>
      <c r="E520" s="147" t="s">
        <v>440</v>
      </c>
      <c r="F520" s="147" t="s">
        <v>323</v>
      </c>
      <c r="G520" s="147" t="s">
        <v>37</v>
      </c>
      <c r="H520" s="148" t="s">
        <v>279</v>
      </c>
      <c r="I520" s="316">
        <v>15000</v>
      </c>
      <c r="J520" s="170">
        <f t="shared" ref="J520:J583" si="106">IF(D520="8",I520,0)</f>
        <v>0</v>
      </c>
      <c r="K520" s="168" t="str">
        <f t="shared" ref="K520:K583" si="107">IF(E520&lt;&gt;"S",IF(D520&lt;&gt;"8",I520,"")," ")</f>
        <v xml:space="preserve"> </v>
      </c>
      <c r="L520" s="147">
        <f>$I$520*L7</f>
        <v>4893.6518324607332</v>
      </c>
      <c r="M520" s="147">
        <f t="shared" ref="M520:P520" si="108">$I$520*M7</f>
        <v>3534.0314136125653</v>
      </c>
      <c r="N520" s="147">
        <f t="shared" si="108"/>
        <v>2105.6937172774869</v>
      </c>
      <c r="O520" s="147">
        <f t="shared" si="108"/>
        <v>2154.7774869109949</v>
      </c>
      <c r="P520" s="147">
        <f t="shared" si="108"/>
        <v>2311.8455497382201</v>
      </c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32">
        <f t="shared" si="101"/>
        <v>15000</v>
      </c>
      <c r="AE520" s="132">
        <f t="shared" si="102"/>
        <v>15000</v>
      </c>
      <c r="AF520" s="150">
        <f t="shared" si="103"/>
        <v>0</v>
      </c>
    </row>
    <row r="521" spans="1:32" x14ac:dyDescent="0.25">
      <c r="A521" s="315" t="s">
        <v>919</v>
      </c>
      <c r="B521" s="315" t="s">
        <v>861</v>
      </c>
      <c r="C521" s="314" t="str">
        <f t="shared" si="104"/>
        <v>A</v>
      </c>
      <c r="D521" s="146" t="str">
        <f t="shared" si="105"/>
        <v>4</v>
      </c>
      <c r="E521" s="147" t="s">
        <v>440</v>
      </c>
      <c r="F521" s="147" t="s">
        <v>323</v>
      </c>
      <c r="G521" s="147" t="s">
        <v>37</v>
      </c>
      <c r="H521" s="148" t="s">
        <v>279</v>
      </c>
      <c r="I521" s="316">
        <v>0</v>
      </c>
      <c r="J521" s="170">
        <f t="shared" si="106"/>
        <v>0</v>
      </c>
      <c r="K521" s="168" t="str">
        <f t="shared" si="107"/>
        <v xml:space="preserve"> </v>
      </c>
      <c r="L521" s="147">
        <f>I521</f>
        <v>0</v>
      </c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32">
        <f t="shared" si="101"/>
        <v>0</v>
      </c>
      <c r="AE521" s="132">
        <f t="shared" si="102"/>
        <v>0</v>
      </c>
      <c r="AF521" s="150">
        <f t="shared" si="103"/>
        <v>0</v>
      </c>
    </row>
    <row r="522" spans="1:32" x14ac:dyDescent="0.25">
      <c r="A522" s="315" t="s">
        <v>894</v>
      </c>
      <c r="B522" s="315" t="s">
        <v>1217</v>
      </c>
      <c r="C522" s="314" t="str">
        <f t="shared" si="104"/>
        <v>A</v>
      </c>
      <c r="D522" s="146" t="str">
        <f t="shared" si="105"/>
        <v>4</v>
      </c>
      <c r="E522" s="147" t="s">
        <v>440</v>
      </c>
      <c r="F522" s="147" t="s">
        <v>323</v>
      </c>
      <c r="G522" s="147" t="s">
        <v>37</v>
      </c>
      <c r="H522" s="148" t="s">
        <v>279</v>
      </c>
      <c r="I522" s="316">
        <v>0</v>
      </c>
      <c r="J522" s="170">
        <f t="shared" si="106"/>
        <v>0</v>
      </c>
      <c r="K522" s="168" t="str">
        <f t="shared" si="107"/>
        <v xml:space="preserve"> </v>
      </c>
      <c r="L522" s="147"/>
      <c r="M522" s="147">
        <f>I522</f>
        <v>0</v>
      </c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32">
        <f t="shared" si="101"/>
        <v>0</v>
      </c>
      <c r="AE522" s="132">
        <f t="shared" si="102"/>
        <v>0</v>
      </c>
      <c r="AF522" s="150">
        <f t="shared" si="103"/>
        <v>0</v>
      </c>
    </row>
    <row r="523" spans="1:32" x14ac:dyDescent="0.25">
      <c r="A523" s="315" t="s">
        <v>1323</v>
      </c>
      <c r="B523" s="315" t="s">
        <v>1399</v>
      </c>
      <c r="C523" s="314" t="str">
        <f t="shared" si="104"/>
        <v>A</v>
      </c>
      <c r="D523" s="146" t="str">
        <f t="shared" si="105"/>
        <v>4</v>
      </c>
      <c r="E523" s="147" t="s">
        <v>440</v>
      </c>
      <c r="F523" s="147" t="s">
        <v>323</v>
      </c>
      <c r="G523" s="147" t="s">
        <v>37</v>
      </c>
      <c r="H523" s="148" t="s">
        <v>279</v>
      </c>
      <c r="I523" s="316">
        <v>0</v>
      </c>
      <c r="J523" s="170">
        <f t="shared" si="106"/>
        <v>0</v>
      </c>
      <c r="K523" s="168" t="str">
        <f t="shared" si="107"/>
        <v xml:space="preserve"> </v>
      </c>
      <c r="L523" s="147"/>
      <c r="M523" s="147"/>
      <c r="N523" s="147">
        <f>I523</f>
        <v>0</v>
      </c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32">
        <f t="shared" si="101"/>
        <v>0</v>
      </c>
      <c r="AE523" s="132">
        <f t="shared" si="102"/>
        <v>0</v>
      </c>
      <c r="AF523" s="150">
        <f t="shared" si="103"/>
        <v>0</v>
      </c>
    </row>
    <row r="524" spans="1:32" x14ac:dyDescent="0.25">
      <c r="A524" s="315" t="s">
        <v>1224</v>
      </c>
      <c r="B524" s="315" t="s">
        <v>1161</v>
      </c>
      <c r="C524" s="314" t="str">
        <f t="shared" si="104"/>
        <v>A</v>
      </c>
      <c r="D524" s="146" t="str">
        <f t="shared" si="105"/>
        <v>4</v>
      </c>
      <c r="E524" s="147" t="s">
        <v>440</v>
      </c>
      <c r="F524" s="147" t="s">
        <v>323</v>
      </c>
      <c r="G524" s="147" t="s">
        <v>37</v>
      </c>
      <c r="H524" s="148" t="s">
        <v>279</v>
      </c>
      <c r="I524" s="316">
        <v>0</v>
      </c>
      <c r="J524" s="170">
        <f t="shared" si="106"/>
        <v>0</v>
      </c>
      <c r="K524" s="168" t="str">
        <f t="shared" si="107"/>
        <v xml:space="preserve"> </v>
      </c>
      <c r="L524" s="147"/>
      <c r="M524" s="147"/>
      <c r="N524" s="147"/>
      <c r="O524" s="147">
        <f>I524</f>
        <v>0</v>
      </c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32">
        <f t="shared" si="101"/>
        <v>0</v>
      </c>
      <c r="AE524" s="132">
        <f t="shared" si="102"/>
        <v>0</v>
      </c>
      <c r="AF524" s="150">
        <f t="shared" si="103"/>
        <v>0</v>
      </c>
    </row>
    <row r="525" spans="1:32" x14ac:dyDescent="0.25">
      <c r="A525" s="315" t="s">
        <v>1750</v>
      </c>
      <c r="B525" s="315" t="s">
        <v>970</v>
      </c>
      <c r="C525" s="314" t="str">
        <f t="shared" si="104"/>
        <v>A</v>
      </c>
      <c r="D525" s="146" t="str">
        <f t="shared" si="105"/>
        <v>4</v>
      </c>
      <c r="E525" s="147" t="s">
        <v>440</v>
      </c>
      <c r="F525" s="147" t="s">
        <v>323</v>
      </c>
      <c r="G525" s="147" t="s">
        <v>37</v>
      </c>
      <c r="H525" s="148" t="s">
        <v>279</v>
      </c>
      <c r="I525" s="316">
        <v>0</v>
      </c>
      <c r="J525" s="170">
        <f t="shared" si="106"/>
        <v>0</v>
      </c>
      <c r="K525" s="168" t="str">
        <f t="shared" si="107"/>
        <v xml:space="preserve"> </v>
      </c>
      <c r="L525" s="147"/>
      <c r="M525" s="147"/>
      <c r="N525" s="147"/>
      <c r="O525" s="147"/>
      <c r="P525" s="147">
        <f>I525</f>
        <v>0</v>
      </c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32">
        <f t="shared" si="101"/>
        <v>0</v>
      </c>
      <c r="AE525" s="132">
        <f t="shared" si="102"/>
        <v>0</v>
      </c>
      <c r="AF525" s="150">
        <f t="shared" si="103"/>
        <v>0</v>
      </c>
    </row>
    <row r="526" spans="1:32" x14ac:dyDescent="0.25">
      <c r="A526" s="315" t="s">
        <v>1714</v>
      </c>
      <c r="B526" s="315" t="s">
        <v>895</v>
      </c>
      <c r="C526" s="314" t="str">
        <f t="shared" si="104"/>
        <v>A</v>
      </c>
      <c r="D526" s="146" t="str">
        <f t="shared" si="105"/>
        <v>4</v>
      </c>
      <c r="E526" s="147" t="s">
        <v>440</v>
      </c>
      <c r="F526" s="147" t="s">
        <v>323</v>
      </c>
      <c r="G526" s="147" t="s">
        <v>37</v>
      </c>
      <c r="H526" s="148" t="s">
        <v>279</v>
      </c>
      <c r="I526" s="316">
        <v>50000</v>
      </c>
      <c r="J526" s="170">
        <f t="shared" si="106"/>
        <v>0</v>
      </c>
      <c r="K526" s="168" t="str">
        <f t="shared" si="107"/>
        <v xml:space="preserve"> </v>
      </c>
      <c r="L526" s="147">
        <f>$I$526*L7</f>
        <v>16312.17277486911</v>
      </c>
      <c r="M526" s="147">
        <f t="shared" ref="M526:P526" si="109">$I$526*M7</f>
        <v>11780.104712041884</v>
      </c>
      <c r="N526" s="147">
        <f t="shared" si="109"/>
        <v>7018.9790575916231</v>
      </c>
      <c r="O526" s="147">
        <f t="shared" si="109"/>
        <v>7182.5916230366493</v>
      </c>
      <c r="P526" s="147">
        <f t="shared" si="109"/>
        <v>7706.1518324607332</v>
      </c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32">
        <f t="shared" si="101"/>
        <v>49999.999999999993</v>
      </c>
      <c r="AE526" s="132">
        <f t="shared" si="102"/>
        <v>49999.999999999993</v>
      </c>
      <c r="AF526" s="150">
        <f t="shared" si="103"/>
        <v>0</v>
      </c>
    </row>
    <row r="527" spans="1:32" x14ac:dyDescent="0.25">
      <c r="A527" s="315" t="s">
        <v>1737</v>
      </c>
      <c r="B527" s="315" t="s">
        <v>1632</v>
      </c>
      <c r="C527" s="314" t="str">
        <f t="shared" si="104"/>
        <v>A</v>
      </c>
      <c r="D527" s="146" t="str">
        <f t="shared" si="105"/>
        <v>4</v>
      </c>
      <c r="E527" s="147" t="s">
        <v>440</v>
      </c>
      <c r="F527" s="147" t="s">
        <v>322</v>
      </c>
      <c r="G527" s="147" t="s">
        <v>37</v>
      </c>
      <c r="H527" s="148" t="s">
        <v>279</v>
      </c>
      <c r="I527" s="316">
        <v>8405</v>
      </c>
      <c r="J527" s="170">
        <f t="shared" si="106"/>
        <v>0</v>
      </c>
      <c r="K527" s="168" t="str">
        <f t="shared" si="107"/>
        <v xml:space="preserve"> </v>
      </c>
      <c r="L527" s="147">
        <f>I527</f>
        <v>8405</v>
      </c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32">
        <f t="shared" si="101"/>
        <v>8405</v>
      </c>
      <c r="AE527" s="132">
        <f t="shared" si="102"/>
        <v>8405</v>
      </c>
      <c r="AF527" s="150">
        <f t="shared" si="103"/>
        <v>0</v>
      </c>
    </row>
    <row r="528" spans="1:32" x14ac:dyDescent="0.25">
      <c r="A528" s="315" t="s">
        <v>1195</v>
      </c>
      <c r="B528" s="315" t="s">
        <v>1362</v>
      </c>
      <c r="C528" s="314" t="str">
        <f t="shared" si="104"/>
        <v>A</v>
      </c>
      <c r="D528" s="146" t="str">
        <f t="shared" si="105"/>
        <v>4</v>
      </c>
      <c r="E528" s="147" t="s">
        <v>440</v>
      </c>
      <c r="F528" s="147" t="s">
        <v>322</v>
      </c>
      <c r="G528" s="147" t="s">
        <v>37</v>
      </c>
      <c r="H528" s="148" t="s">
        <v>279</v>
      </c>
      <c r="I528" s="316">
        <v>0</v>
      </c>
      <c r="J528" s="170">
        <f t="shared" si="106"/>
        <v>0</v>
      </c>
      <c r="K528" s="168" t="str">
        <f t="shared" si="107"/>
        <v xml:space="preserve"> </v>
      </c>
      <c r="L528" s="147">
        <f>I528</f>
        <v>0</v>
      </c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32">
        <f t="shared" si="101"/>
        <v>0</v>
      </c>
      <c r="AE528" s="132">
        <f t="shared" si="102"/>
        <v>0</v>
      </c>
      <c r="AF528" s="150">
        <f t="shared" si="103"/>
        <v>0</v>
      </c>
    </row>
    <row r="529" spans="1:32" x14ac:dyDescent="0.25">
      <c r="A529" s="315" t="s">
        <v>743</v>
      </c>
      <c r="B529" s="315" t="s">
        <v>1122</v>
      </c>
      <c r="C529" s="314" t="str">
        <f t="shared" si="104"/>
        <v>A</v>
      </c>
      <c r="D529" s="146" t="str">
        <f t="shared" si="105"/>
        <v>1</v>
      </c>
      <c r="E529" s="147" t="s">
        <v>440</v>
      </c>
      <c r="F529" s="147" t="s">
        <v>320</v>
      </c>
      <c r="G529" s="147" t="s">
        <v>38</v>
      </c>
      <c r="H529" s="148" t="s">
        <v>279</v>
      </c>
      <c r="I529" s="316">
        <v>354040</v>
      </c>
      <c r="J529" s="170">
        <f t="shared" si="106"/>
        <v>0</v>
      </c>
      <c r="K529" s="168" t="str">
        <f t="shared" si="107"/>
        <v xml:space="preserve"> </v>
      </c>
      <c r="L529" s="147">
        <f>I529</f>
        <v>354040</v>
      </c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32">
        <f t="shared" si="101"/>
        <v>354040</v>
      </c>
      <c r="AE529" s="132">
        <f t="shared" si="102"/>
        <v>354040</v>
      </c>
      <c r="AF529" s="150">
        <f t="shared" si="103"/>
        <v>0</v>
      </c>
    </row>
    <row r="530" spans="1:32" x14ac:dyDescent="0.25">
      <c r="A530" s="315" t="s">
        <v>509</v>
      </c>
      <c r="B530" s="315" t="s">
        <v>896</v>
      </c>
      <c r="C530" s="314" t="str">
        <f t="shared" si="104"/>
        <v>A</v>
      </c>
      <c r="D530" s="146" t="str">
        <f t="shared" si="105"/>
        <v>1</v>
      </c>
      <c r="E530" s="147" t="s">
        <v>440</v>
      </c>
      <c r="F530" s="147" t="s">
        <v>320</v>
      </c>
      <c r="G530" s="147" t="s">
        <v>38</v>
      </c>
      <c r="H530" s="148" t="s">
        <v>279</v>
      </c>
      <c r="I530" s="316">
        <v>204873</v>
      </c>
      <c r="J530" s="170">
        <f t="shared" si="106"/>
        <v>0</v>
      </c>
      <c r="K530" s="168" t="str">
        <f t="shared" si="107"/>
        <v xml:space="preserve"> </v>
      </c>
      <c r="L530" s="147"/>
      <c r="M530" s="147">
        <f>I530</f>
        <v>204873</v>
      </c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32">
        <f t="shared" si="101"/>
        <v>204873</v>
      </c>
      <c r="AE530" s="132">
        <f t="shared" si="102"/>
        <v>204873</v>
      </c>
      <c r="AF530" s="150">
        <f t="shared" si="103"/>
        <v>0</v>
      </c>
    </row>
    <row r="531" spans="1:32" x14ac:dyDescent="0.25">
      <c r="A531" s="315" t="s">
        <v>505</v>
      </c>
      <c r="B531" s="315" t="s">
        <v>526</v>
      </c>
      <c r="C531" s="314" t="str">
        <f t="shared" si="104"/>
        <v>A</v>
      </c>
      <c r="D531" s="146" t="str">
        <f t="shared" si="105"/>
        <v>1</v>
      </c>
      <c r="E531" s="147" t="s">
        <v>440</v>
      </c>
      <c r="F531" s="147" t="s">
        <v>320</v>
      </c>
      <c r="G531" s="147" t="s">
        <v>38</v>
      </c>
      <c r="H531" s="148" t="s">
        <v>279</v>
      </c>
      <c r="I531" s="316">
        <v>79536</v>
      </c>
      <c r="J531" s="170">
        <f t="shared" si="106"/>
        <v>0</v>
      </c>
      <c r="K531" s="168" t="str">
        <f t="shared" si="107"/>
        <v xml:space="preserve"> </v>
      </c>
      <c r="L531" s="147">
        <f>I531</f>
        <v>79536</v>
      </c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32">
        <f t="shared" si="101"/>
        <v>79536</v>
      </c>
      <c r="AE531" s="132">
        <f t="shared" si="102"/>
        <v>79536</v>
      </c>
      <c r="AF531" s="150">
        <f t="shared" si="103"/>
        <v>0</v>
      </c>
    </row>
    <row r="532" spans="1:32" x14ac:dyDescent="0.25">
      <c r="A532" s="315" t="s">
        <v>953</v>
      </c>
      <c r="B532" s="315" t="s">
        <v>1617</v>
      </c>
      <c r="C532" s="314" t="str">
        <f t="shared" si="104"/>
        <v>A</v>
      </c>
      <c r="D532" s="146" t="str">
        <f t="shared" si="105"/>
        <v>1</v>
      </c>
      <c r="E532" s="147" t="s">
        <v>440</v>
      </c>
      <c r="F532" s="147" t="s">
        <v>320</v>
      </c>
      <c r="G532" s="147" t="s">
        <v>38</v>
      </c>
      <c r="H532" s="148" t="s">
        <v>279</v>
      </c>
      <c r="I532" s="316">
        <v>52260</v>
      </c>
      <c r="J532" s="170">
        <f t="shared" si="106"/>
        <v>0</v>
      </c>
      <c r="K532" s="168" t="str">
        <f t="shared" si="107"/>
        <v xml:space="preserve"> </v>
      </c>
      <c r="L532" s="147"/>
      <c r="M532" s="147">
        <f>I532</f>
        <v>52260</v>
      </c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32">
        <f t="shared" si="101"/>
        <v>52260</v>
      </c>
      <c r="AE532" s="132">
        <f t="shared" si="102"/>
        <v>52260</v>
      </c>
      <c r="AF532" s="150">
        <f t="shared" si="103"/>
        <v>0</v>
      </c>
    </row>
    <row r="533" spans="1:32" x14ac:dyDescent="0.25">
      <c r="A533" s="315" t="s">
        <v>633</v>
      </c>
      <c r="B533" s="315" t="s">
        <v>1257</v>
      </c>
      <c r="C533" s="314" t="str">
        <f t="shared" si="104"/>
        <v>A</v>
      </c>
      <c r="D533" s="146" t="str">
        <f t="shared" si="105"/>
        <v>4</v>
      </c>
      <c r="E533" s="147" t="s">
        <v>440</v>
      </c>
      <c r="F533" s="147" t="s">
        <v>323</v>
      </c>
      <c r="G533" s="147" t="s">
        <v>38</v>
      </c>
      <c r="H533" s="148" t="s">
        <v>279</v>
      </c>
      <c r="I533" s="316">
        <v>1860</v>
      </c>
      <c r="J533" s="170">
        <f t="shared" si="106"/>
        <v>0</v>
      </c>
      <c r="K533" s="168" t="str">
        <f t="shared" si="107"/>
        <v xml:space="preserve"> </v>
      </c>
      <c r="L533" s="147">
        <f>I533</f>
        <v>1860</v>
      </c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32">
        <f t="shared" si="101"/>
        <v>1860</v>
      </c>
      <c r="AE533" s="132">
        <f t="shared" si="102"/>
        <v>1860</v>
      </c>
      <c r="AF533" s="150">
        <f t="shared" si="103"/>
        <v>0</v>
      </c>
    </row>
    <row r="534" spans="1:32" x14ac:dyDescent="0.25">
      <c r="A534" s="315" t="s">
        <v>1035</v>
      </c>
      <c r="B534" s="315" t="s">
        <v>1648</v>
      </c>
      <c r="C534" s="314" t="str">
        <f t="shared" si="104"/>
        <v>A</v>
      </c>
      <c r="D534" s="146" t="str">
        <f t="shared" si="105"/>
        <v>1</v>
      </c>
      <c r="E534" s="147" t="s">
        <v>440</v>
      </c>
      <c r="F534" s="147" t="s">
        <v>320</v>
      </c>
      <c r="G534" s="147" t="s">
        <v>38</v>
      </c>
      <c r="H534" s="148" t="s">
        <v>279</v>
      </c>
      <c r="I534" s="316">
        <v>54568</v>
      </c>
      <c r="J534" s="170">
        <f t="shared" si="106"/>
        <v>0</v>
      </c>
      <c r="K534" s="168" t="str">
        <f t="shared" si="107"/>
        <v xml:space="preserve"> </v>
      </c>
      <c r="L534" s="147">
        <f>I534</f>
        <v>54568</v>
      </c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32">
        <f t="shared" si="101"/>
        <v>54568</v>
      </c>
      <c r="AE534" s="132">
        <f t="shared" si="102"/>
        <v>54568</v>
      </c>
      <c r="AF534" s="150">
        <f t="shared" si="103"/>
        <v>0</v>
      </c>
    </row>
    <row r="535" spans="1:32" x14ac:dyDescent="0.25">
      <c r="A535" s="315" t="s">
        <v>893</v>
      </c>
      <c r="B535" s="315" t="s">
        <v>724</v>
      </c>
      <c r="C535" s="314" t="str">
        <f t="shared" si="104"/>
        <v>A</v>
      </c>
      <c r="D535" s="146" t="str">
        <f t="shared" si="105"/>
        <v>1</v>
      </c>
      <c r="E535" s="147" t="s">
        <v>440</v>
      </c>
      <c r="F535" s="147" t="s">
        <v>320</v>
      </c>
      <c r="G535" s="147" t="s">
        <v>38</v>
      </c>
      <c r="H535" s="148" t="s">
        <v>279</v>
      </c>
      <c r="I535" s="316">
        <v>5000</v>
      </c>
      <c r="J535" s="170">
        <f t="shared" si="106"/>
        <v>0</v>
      </c>
      <c r="K535" s="168" t="str">
        <f t="shared" si="107"/>
        <v xml:space="preserve"> </v>
      </c>
      <c r="L535" s="147">
        <f>I535</f>
        <v>5000</v>
      </c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32">
        <f t="shared" si="101"/>
        <v>5000</v>
      </c>
      <c r="AE535" s="132">
        <f t="shared" si="102"/>
        <v>5000</v>
      </c>
      <c r="AF535" s="150">
        <f t="shared" si="103"/>
        <v>0</v>
      </c>
    </row>
    <row r="536" spans="1:32" x14ac:dyDescent="0.25">
      <c r="A536" s="315" t="s">
        <v>1563</v>
      </c>
      <c r="B536" s="315" t="s">
        <v>1674</v>
      </c>
      <c r="C536" s="314" t="str">
        <f t="shared" si="104"/>
        <v>A</v>
      </c>
      <c r="D536" s="146" t="str">
        <f t="shared" si="105"/>
        <v>1</v>
      </c>
      <c r="E536" s="147" t="s">
        <v>440</v>
      </c>
      <c r="F536" s="147" t="s">
        <v>320</v>
      </c>
      <c r="G536" s="147" t="s">
        <v>38</v>
      </c>
      <c r="H536" s="148" t="s">
        <v>279</v>
      </c>
      <c r="I536" s="316">
        <v>45600</v>
      </c>
      <c r="J536" s="170">
        <f t="shared" si="106"/>
        <v>0</v>
      </c>
      <c r="K536" s="168" t="str">
        <f t="shared" si="107"/>
        <v xml:space="preserve"> </v>
      </c>
      <c r="L536" s="147"/>
      <c r="M536" s="147">
        <f>I536</f>
        <v>45600</v>
      </c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32">
        <f t="shared" si="101"/>
        <v>45600</v>
      </c>
      <c r="AE536" s="132">
        <f t="shared" si="102"/>
        <v>45600</v>
      </c>
      <c r="AF536" s="150">
        <f t="shared" si="103"/>
        <v>0</v>
      </c>
    </row>
    <row r="537" spans="1:32" x14ac:dyDescent="0.25">
      <c r="A537" s="315" t="s">
        <v>926</v>
      </c>
      <c r="B537" s="315" t="s">
        <v>1216</v>
      </c>
      <c r="C537" s="314" t="str">
        <f t="shared" si="104"/>
        <v>A</v>
      </c>
      <c r="D537" s="146" t="str">
        <f t="shared" si="105"/>
        <v>1</v>
      </c>
      <c r="E537" s="147" t="s">
        <v>440</v>
      </c>
      <c r="F537" s="147" t="s">
        <v>320</v>
      </c>
      <c r="G537" s="147" t="s">
        <v>38</v>
      </c>
      <c r="H537" s="148" t="s">
        <v>279</v>
      </c>
      <c r="I537" s="316">
        <v>5000</v>
      </c>
      <c r="J537" s="170">
        <f t="shared" si="106"/>
        <v>0</v>
      </c>
      <c r="K537" s="168" t="str">
        <f t="shared" si="107"/>
        <v xml:space="preserve"> </v>
      </c>
      <c r="L537" s="147"/>
      <c r="M537" s="147">
        <f>I537</f>
        <v>5000</v>
      </c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32">
        <f t="shared" si="101"/>
        <v>5000</v>
      </c>
      <c r="AE537" s="132">
        <f t="shared" si="102"/>
        <v>5000</v>
      </c>
      <c r="AF537" s="150">
        <f t="shared" si="103"/>
        <v>0</v>
      </c>
    </row>
    <row r="538" spans="1:32" x14ac:dyDescent="0.25">
      <c r="A538" s="315" t="s">
        <v>1497</v>
      </c>
      <c r="B538" s="315" t="s">
        <v>1705</v>
      </c>
      <c r="C538" s="314" t="str">
        <f t="shared" si="104"/>
        <v>A</v>
      </c>
      <c r="D538" s="146" t="str">
        <f t="shared" si="105"/>
        <v>1</v>
      </c>
      <c r="E538" s="147" t="s">
        <v>440</v>
      </c>
      <c r="F538" s="147" t="s">
        <v>320</v>
      </c>
      <c r="G538" s="147" t="s">
        <v>38</v>
      </c>
      <c r="H538" s="148" t="s">
        <v>279</v>
      </c>
      <c r="I538" s="316">
        <v>47551</v>
      </c>
      <c r="J538" s="170">
        <f t="shared" si="106"/>
        <v>0</v>
      </c>
      <c r="K538" s="168" t="str">
        <f t="shared" si="107"/>
        <v xml:space="preserve"> </v>
      </c>
      <c r="L538" s="147"/>
      <c r="M538" s="147"/>
      <c r="N538" s="147">
        <f>I538</f>
        <v>47551</v>
      </c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32">
        <f t="shared" si="101"/>
        <v>47551</v>
      </c>
      <c r="AE538" s="132">
        <f t="shared" si="102"/>
        <v>47551</v>
      </c>
      <c r="AF538" s="150">
        <f t="shared" si="103"/>
        <v>0</v>
      </c>
    </row>
    <row r="539" spans="1:32" x14ac:dyDescent="0.25">
      <c r="A539" s="315" t="s">
        <v>1663</v>
      </c>
      <c r="B539" s="315" t="s">
        <v>1712</v>
      </c>
      <c r="C539" s="314" t="str">
        <f t="shared" si="104"/>
        <v>A</v>
      </c>
      <c r="D539" s="146" t="str">
        <f t="shared" si="105"/>
        <v>1</v>
      </c>
      <c r="E539" s="147" t="s">
        <v>440</v>
      </c>
      <c r="F539" s="147" t="s">
        <v>320</v>
      </c>
      <c r="G539" s="147" t="s">
        <v>38</v>
      </c>
      <c r="H539" s="148" t="s">
        <v>279</v>
      </c>
      <c r="I539" s="316">
        <v>5000</v>
      </c>
      <c r="J539" s="170">
        <f t="shared" si="106"/>
        <v>0</v>
      </c>
      <c r="K539" s="168" t="str">
        <f t="shared" si="107"/>
        <v xml:space="preserve"> </v>
      </c>
      <c r="L539" s="147"/>
      <c r="M539" s="147"/>
      <c r="N539" s="147">
        <f>I539</f>
        <v>5000</v>
      </c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32">
        <f t="shared" si="101"/>
        <v>5000</v>
      </c>
      <c r="AE539" s="132">
        <f t="shared" si="102"/>
        <v>5000</v>
      </c>
      <c r="AF539" s="150">
        <f t="shared" si="103"/>
        <v>0</v>
      </c>
    </row>
    <row r="540" spans="1:32" x14ac:dyDescent="0.25">
      <c r="A540" s="315" t="s">
        <v>1728</v>
      </c>
      <c r="B540" s="315" t="s">
        <v>1421</v>
      </c>
      <c r="C540" s="314" t="str">
        <f t="shared" si="104"/>
        <v>A</v>
      </c>
      <c r="D540" s="146" t="str">
        <f t="shared" si="105"/>
        <v>1</v>
      </c>
      <c r="E540" s="147" t="s">
        <v>440</v>
      </c>
      <c r="F540" s="147" t="s">
        <v>320</v>
      </c>
      <c r="G540" s="147" t="s">
        <v>38</v>
      </c>
      <c r="H540" s="148" t="s">
        <v>279</v>
      </c>
      <c r="I540" s="316">
        <v>47551</v>
      </c>
      <c r="J540" s="170">
        <f t="shared" si="106"/>
        <v>0</v>
      </c>
      <c r="K540" s="168" t="str">
        <f t="shared" si="107"/>
        <v xml:space="preserve"> </v>
      </c>
      <c r="L540" s="147"/>
      <c r="M540" s="147"/>
      <c r="N540" s="147"/>
      <c r="O540" s="147">
        <f>I540</f>
        <v>47551</v>
      </c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32">
        <f t="shared" si="101"/>
        <v>47551</v>
      </c>
      <c r="AE540" s="132">
        <f t="shared" si="102"/>
        <v>47551</v>
      </c>
      <c r="AF540" s="150">
        <f t="shared" si="103"/>
        <v>0</v>
      </c>
    </row>
    <row r="541" spans="1:32" x14ac:dyDescent="0.25">
      <c r="A541" s="315" t="s">
        <v>1640</v>
      </c>
      <c r="B541" s="315" t="s">
        <v>730</v>
      </c>
      <c r="C541" s="314" t="str">
        <f t="shared" si="104"/>
        <v>A</v>
      </c>
      <c r="D541" s="146" t="str">
        <f t="shared" si="105"/>
        <v>1</v>
      </c>
      <c r="E541" s="147" t="s">
        <v>440</v>
      </c>
      <c r="F541" s="147" t="s">
        <v>320</v>
      </c>
      <c r="G541" s="147" t="s">
        <v>38</v>
      </c>
      <c r="H541" s="148" t="s">
        <v>279</v>
      </c>
      <c r="I541" s="316">
        <v>5000</v>
      </c>
      <c r="J541" s="170">
        <f t="shared" si="106"/>
        <v>0</v>
      </c>
      <c r="K541" s="168" t="str">
        <f t="shared" si="107"/>
        <v xml:space="preserve"> </v>
      </c>
      <c r="L541" s="147"/>
      <c r="M541" s="147"/>
      <c r="N541" s="147"/>
      <c r="O541" s="147">
        <f>I541</f>
        <v>5000</v>
      </c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32">
        <f t="shared" si="101"/>
        <v>5000</v>
      </c>
      <c r="AE541" s="132">
        <f t="shared" si="102"/>
        <v>5000</v>
      </c>
      <c r="AF541" s="150">
        <f t="shared" si="103"/>
        <v>0</v>
      </c>
    </row>
    <row r="542" spans="1:32" x14ac:dyDescent="0.25">
      <c r="A542" s="315" t="s">
        <v>1165</v>
      </c>
      <c r="B542" s="315" t="s">
        <v>1471</v>
      </c>
      <c r="C542" s="314" t="str">
        <f t="shared" si="104"/>
        <v>A</v>
      </c>
      <c r="D542" s="146" t="str">
        <f t="shared" si="105"/>
        <v>1</v>
      </c>
      <c r="E542" s="147" t="s">
        <v>440</v>
      </c>
      <c r="F542" s="147" t="s">
        <v>320</v>
      </c>
      <c r="G542" s="147" t="s">
        <v>38</v>
      </c>
      <c r="H542" s="148" t="s">
        <v>279</v>
      </c>
      <c r="I542" s="316">
        <v>51157</v>
      </c>
      <c r="J542" s="170">
        <f t="shared" si="106"/>
        <v>0</v>
      </c>
      <c r="K542" s="168" t="str">
        <f t="shared" si="107"/>
        <v xml:space="preserve"> </v>
      </c>
      <c r="L542" s="147"/>
      <c r="M542" s="147"/>
      <c r="N542" s="147"/>
      <c r="O542" s="147"/>
      <c r="P542" s="147">
        <f>I542</f>
        <v>51157</v>
      </c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32">
        <f t="shared" si="101"/>
        <v>51157</v>
      </c>
      <c r="AE542" s="132">
        <f t="shared" si="102"/>
        <v>51157</v>
      </c>
      <c r="AF542" s="150">
        <f t="shared" si="103"/>
        <v>0</v>
      </c>
    </row>
    <row r="543" spans="1:32" x14ac:dyDescent="0.25">
      <c r="A543" s="315" t="s">
        <v>1148</v>
      </c>
      <c r="B543" s="315" t="s">
        <v>1110</v>
      </c>
      <c r="C543" s="314" t="str">
        <f t="shared" si="104"/>
        <v>A</v>
      </c>
      <c r="D543" s="146" t="str">
        <f t="shared" si="105"/>
        <v>1</v>
      </c>
      <c r="E543" s="147" t="s">
        <v>440</v>
      </c>
      <c r="F543" s="147" t="s">
        <v>320</v>
      </c>
      <c r="G543" s="147" t="s">
        <v>38</v>
      </c>
      <c r="H543" s="148" t="s">
        <v>279</v>
      </c>
      <c r="I543" s="316">
        <v>5000</v>
      </c>
      <c r="J543" s="170">
        <f t="shared" si="106"/>
        <v>0</v>
      </c>
      <c r="K543" s="168" t="str">
        <f t="shared" si="107"/>
        <v xml:space="preserve"> </v>
      </c>
      <c r="L543" s="147"/>
      <c r="M543" s="147"/>
      <c r="N543" s="147"/>
      <c r="O543" s="147"/>
      <c r="P543" s="147">
        <f>I543</f>
        <v>5000</v>
      </c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32">
        <f t="shared" si="101"/>
        <v>5000</v>
      </c>
      <c r="AE543" s="132">
        <f t="shared" si="102"/>
        <v>5000</v>
      </c>
      <c r="AF543" s="150">
        <f t="shared" si="103"/>
        <v>0</v>
      </c>
    </row>
    <row r="544" spans="1:32" x14ac:dyDescent="0.25">
      <c r="A544" s="315" t="s">
        <v>1396</v>
      </c>
      <c r="B544" s="315" t="s">
        <v>1541</v>
      </c>
      <c r="C544" s="314" t="str">
        <f t="shared" si="104"/>
        <v>A</v>
      </c>
      <c r="D544" s="146" t="str">
        <f t="shared" si="105"/>
        <v>1</v>
      </c>
      <c r="E544" s="147" t="s">
        <v>440</v>
      </c>
      <c r="F544" s="147" t="s">
        <v>320</v>
      </c>
      <c r="G544" s="147" t="s">
        <v>38</v>
      </c>
      <c r="H544" s="148" t="s">
        <v>279</v>
      </c>
      <c r="I544" s="316">
        <v>35000</v>
      </c>
      <c r="J544" s="170">
        <f t="shared" si="106"/>
        <v>0</v>
      </c>
      <c r="K544" s="168" t="str">
        <f t="shared" si="107"/>
        <v xml:space="preserve"> </v>
      </c>
      <c r="L544" s="147">
        <f>$I$544*L7</f>
        <v>11418.520942408377</v>
      </c>
      <c r="M544" s="147">
        <f t="shared" ref="M544:P544" si="110">$I$544*M7</f>
        <v>8246.073298429319</v>
      </c>
      <c r="N544" s="147">
        <f t="shared" si="110"/>
        <v>4913.2853403141362</v>
      </c>
      <c r="O544" s="147">
        <f t="shared" si="110"/>
        <v>5027.8141361256548</v>
      </c>
      <c r="P544" s="147">
        <f t="shared" si="110"/>
        <v>5394.306282722514</v>
      </c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32">
        <f t="shared" si="101"/>
        <v>35000</v>
      </c>
      <c r="AE544" s="132">
        <f t="shared" si="102"/>
        <v>35000</v>
      </c>
      <c r="AF544" s="150">
        <f t="shared" si="103"/>
        <v>0</v>
      </c>
    </row>
    <row r="545" spans="1:32" x14ac:dyDescent="0.25">
      <c r="A545" s="315" t="s">
        <v>525</v>
      </c>
      <c r="B545" s="315" t="s">
        <v>1319</v>
      </c>
      <c r="C545" s="314" t="str">
        <f t="shared" si="104"/>
        <v>A</v>
      </c>
      <c r="D545" s="146" t="str">
        <f t="shared" si="105"/>
        <v>1</v>
      </c>
      <c r="E545" s="147" t="s">
        <v>440</v>
      </c>
      <c r="F545" s="147" t="s">
        <v>320</v>
      </c>
      <c r="G545" s="147" t="s">
        <v>38</v>
      </c>
      <c r="H545" s="148" t="s">
        <v>279</v>
      </c>
      <c r="I545" s="316">
        <v>53899</v>
      </c>
      <c r="J545" s="170">
        <f t="shared" si="106"/>
        <v>0</v>
      </c>
      <c r="K545" s="168" t="str">
        <f t="shared" si="107"/>
        <v xml:space="preserve"> </v>
      </c>
      <c r="L545" s="147">
        <f>$I$545*L7</f>
        <v>17584.196007853403</v>
      </c>
      <c r="M545" s="147">
        <f t="shared" ref="M545:P545" si="111">$I$545*M7</f>
        <v>12698.71727748691</v>
      </c>
      <c r="N545" s="147">
        <f t="shared" si="111"/>
        <v>7566.3190445026185</v>
      </c>
      <c r="O545" s="147">
        <f t="shared" si="111"/>
        <v>7742.6901178010476</v>
      </c>
      <c r="P545" s="147">
        <f t="shared" si="111"/>
        <v>8307.0775523560224</v>
      </c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32">
        <f t="shared" si="101"/>
        <v>53899</v>
      </c>
      <c r="AE545" s="132">
        <f t="shared" si="102"/>
        <v>53899</v>
      </c>
      <c r="AF545" s="150">
        <f t="shared" si="103"/>
        <v>0</v>
      </c>
    </row>
    <row r="546" spans="1:32" x14ac:dyDescent="0.25">
      <c r="A546" s="315" t="s">
        <v>823</v>
      </c>
      <c r="B546" s="315" t="s">
        <v>529</v>
      </c>
      <c r="C546" s="314" t="str">
        <f t="shared" si="104"/>
        <v>A</v>
      </c>
      <c r="D546" s="146" t="str">
        <f t="shared" si="105"/>
        <v>4</v>
      </c>
      <c r="E546" s="147" t="s">
        <v>440</v>
      </c>
      <c r="F546" s="147" t="s">
        <v>323</v>
      </c>
      <c r="G546" s="147" t="s">
        <v>38</v>
      </c>
      <c r="H546" s="148" t="s">
        <v>279</v>
      </c>
      <c r="I546" s="316">
        <v>10000</v>
      </c>
      <c r="J546" s="170">
        <f t="shared" si="106"/>
        <v>0</v>
      </c>
      <c r="K546" s="168" t="str">
        <f t="shared" si="107"/>
        <v xml:space="preserve"> </v>
      </c>
      <c r="L546" s="147">
        <f>$I$546*L7</f>
        <v>3262.4345549738223</v>
      </c>
      <c r="M546" s="147">
        <f t="shared" ref="M546:P546" si="112">$I$546*M7</f>
        <v>2356.0209424083769</v>
      </c>
      <c r="N546" s="147">
        <f t="shared" si="112"/>
        <v>1403.7958115183246</v>
      </c>
      <c r="O546" s="147">
        <f t="shared" si="112"/>
        <v>1436.5183246073298</v>
      </c>
      <c r="P546" s="147">
        <f t="shared" si="112"/>
        <v>1541.2303664921467</v>
      </c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32">
        <f t="shared" si="101"/>
        <v>10000.000000000002</v>
      </c>
      <c r="AE546" s="132">
        <f t="shared" si="102"/>
        <v>10000.000000000002</v>
      </c>
      <c r="AF546" s="150">
        <f t="shared" si="103"/>
        <v>0</v>
      </c>
    </row>
    <row r="547" spans="1:32" x14ac:dyDescent="0.25">
      <c r="A547" s="315" t="s">
        <v>1618</v>
      </c>
      <c r="B547" s="315" t="s">
        <v>1538</v>
      </c>
      <c r="C547" s="314" t="str">
        <f t="shared" si="104"/>
        <v>A</v>
      </c>
      <c r="D547" s="146" t="str">
        <f t="shared" si="105"/>
        <v>4</v>
      </c>
      <c r="E547" s="147" t="s">
        <v>440</v>
      </c>
      <c r="F547" s="147" t="s">
        <v>323</v>
      </c>
      <c r="G547" s="147" t="s">
        <v>38</v>
      </c>
      <c r="H547" s="148" t="s">
        <v>279</v>
      </c>
      <c r="I547" s="316">
        <v>50000</v>
      </c>
      <c r="J547" s="170">
        <f t="shared" si="106"/>
        <v>0</v>
      </c>
      <c r="K547" s="168" t="str">
        <f t="shared" si="107"/>
        <v xml:space="preserve"> </v>
      </c>
      <c r="L547" s="147">
        <f>$I$547*L7</f>
        <v>16312.17277486911</v>
      </c>
      <c r="M547" s="147">
        <f t="shared" ref="M547:P547" si="113">$I$547*M7</f>
        <v>11780.104712041884</v>
      </c>
      <c r="N547" s="147">
        <f t="shared" si="113"/>
        <v>7018.9790575916231</v>
      </c>
      <c r="O547" s="147">
        <f t="shared" si="113"/>
        <v>7182.5916230366493</v>
      </c>
      <c r="P547" s="147">
        <f t="shared" si="113"/>
        <v>7706.1518324607332</v>
      </c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32">
        <f t="shared" si="101"/>
        <v>49999.999999999993</v>
      </c>
      <c r="AE547" s="132">
        <f t="shared" si="102"/>
        <v>49999.999999999993</v>
      </c>
      <c r="AF547" s="150">
        <f t="shared" si="103"/>
        <v>0</v>
      </c>
    </row>
    <row r="548" spans="1:32" x14ac:dyDescent="0.25">
      <c r="A548" s="315" t="s">
        <v>753</v>
      </c>
      <c r="B548" s="315" t="s">
        <v>1718</v>
      </c>
      <c r="C548" s="314" t="str">
        <f t="shared" si="104"/>
        <v>A</v>
      </c>
      <c r="D548" s="146" t="str">
        <f t="shared" si="105"/>
        <v>4</v>
      </c>
      <c r="E548" s="147" t="s">
        <v>440</v>
      </c>
      <c r="F548" s="147" t="s">
        <v>323</v>
      </c>
      <c r="G548" s="147" t="s">
        <v>38</v>
      </c>
      <c r="H548" s="148" t="s">
        <v>279</v>
      </c>
      <c r="I548" s="316">
        <v>5000</v>
      </c>
      <c r="J548" s="170">
        <f t="shared" si="106"/>
        <v>0</v>
      </c>
      <c r="K548" s="168" t="str">
        <f t="shared" si="107"/>
        <v xml:space="preserve"> </v>
      </c>
      <c r="L548" s="147">
        <f>$I$548*L7</f>
        <v>1631.2172774869111</v>
      </c>
      <c r="M548" s="147">
        <f t="shared" ref="M548:P548" si="114">$I$548*M7</f>
        <v>1178.0104712041884</v>
      </c>
      <c r="N548" s="147">
        <f t="shared" si="114"/>
        <v>701.89790575916231</v>
      </c>
      <c r="O548" s="147">
        <f t="shared" si="114"/>
        <v>718.25916230366488</v>
      </c>
      <c r="P548" s="147">
        <f t="shared" si="114"/>
        <v>770.61518324607334</v>
      </c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32">
        <f t="shared" si="101"/>
        <v>5000.0000000000009</v>
      </c>
      <c r="AE548" s="132">
        <f t="shared" si="102"/>
        <v>5000.0000000000009</v>
      </c>
      <c r="AF548" s="150">
        <f t="shared" si="103"/>
        <v>0</v>
      </c>
    </row>
    <row r="549" spans="1:32" x14ac:dyDescent="0.25">
      <c r="A549" s="315" t="s">
        <v>934</v>
      </c>
      <c r="B549" s="315" t="s">
        <v>665</v>
      </c>
      <c r="C549" s="314" t="str">
        <f t="shared" si="104"/>
        <v>A</v>
      </c>
      <c r="D549" s="146" t="str">
        <f t="shared" si="105"/>
        <v>4</v>
      </c>
      <c r="E549" s="147" t="s">
        <v>440</v>
      </c>
      <c r="F549" s="147" t="s">
        <v>323</v>
      </c>
      <c r="G549" s="147" t="s">
        <v>38</v>
      </c>
      <c r="H549" s="148" t="s">
        <v>279</v>
      </c>
      <c r="I549" s="316">
        <v>0</v>
      </c>
      <c r="J549" s="170">
        <f t="shared" si="106"/>
        <v>0</v>
      </c>
      <c r="K549" s="168" t="str">
        <f t="shared" si="107"/>
        <v xml:space="preserve"> </v>
      </c>
      <c r="L549" s="147">
        <f>I549</f>
        <v>0</v>
      </c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32">
        <f t="shared" si="101"/>
        <v>0</v>
      </c>
      <c r="AE549" s="132">
        <f t="shared" si="102"/>
        <v>0</v>
      </c>
      <c r="AF549" s="150">
        <f t="shared" si="103"/>
        <v>0</v>
      </c>
    </row>
    <row r="550" spans="1:32" x14ac:dyDescent="0.25">
      <c r="A550" s="315" t="s">
        <v>876</v>
      </c>
      <c r="B550" s="315" t="s">
        <v>1536</v>
      </c>
      <c r="C550" s="314" t="str">
        <f t="shared" si="104"/>
        <v>A</v>
      </c>
      <c r="D550" s="146" t="str">
        <f t="shared" si="105"/>
        <v>4</v>
      </c>
      <c r="E550" s="147" t="s">
        <v>440</v>
      </c>
      <c r="F550" s="147" t="s">
        <v>323</v>
      </c>
      <c r="G550" s="147" t="s">
        <v>38</v>
      </c>
      <c r="H550" s="148" t="s">
        <v>279</v>
      </c>
      <c r="I550" s="316">
        <v>0</v>
      </c>
      <c r="J550" s="170">
        <f t="shared" si="106"/>
        <v>0</v>
      </c>
      <c r="K550" s="168" t="str">
        <f t="shared" si="107"/>
        <v xml:space="preserve"> </v>
      </c>
      <c r="L550" s="147"/>
      <c r="M550" s="147">
        <f>I550</f>
        <v>0</v>
      </c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32">
        <f t="shared" si="101"/>
        <v>0</v>
      </c>
      <c r="AE550" s="132">
        <f t="shared" si="102"/>
        <v>0</v>
      </c>
      <c r="AF550" s="150">
        <f t="shared" si="103"/>
        <v>0</v>
      </c>
    </row>
    <row r="551" spans="1:32" x14ac:dyDescent="0.25">
      <c r="A551" s="315" t="s">
        <v>990</v>
      </c>
      <c r="B551" s="315" t="s">
        <v>1738</v>
      </c>
      <c r="C551" s="314" t="str">
        <f t="shared" si="104"/>
        <v>A</v>
      </c>
      <c r="D551" s="146" t="str">
        <f t="shared" si="105"/>
        <v>4</v>
      </c>
      <c r="E551" s="147" t="s">
        <v>440</v>
      </c>
      <c r="F551" s="147" t="s">
        <v>323</v>
      </c>
      <c r="G551" s="147" t="s">
        <v>38</v>
      </c>
      <c r="H551" s="148" t="s">
        <v>279</v>
      </c>
      <c r="I551" s="316">
        <v>0</v>
      </c>
      <c r="J551" s="170">
        <f t="shared" si="106"/>
        <v>0</v>
      </c>
      <c r="K551" s="168" t="str">
        <f t="shared" si="107"/>
        <v xml:space="preserve"> </v>
      </c>
      <c r="L551" s="147"/>
      <c r="M551" s="147"/>
      <c r="N551" s="147">
        <f>I551</f>
        <v>0</v>
      </c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32">
        <f t="shared" si="101"/>
        <v>0</v>
      </c>
      <c r="AE551" s="132">
        <f t="shared" si="102"/>
        <v>0</v>
      </c>
      <c r="AF551" s="150">
        <f t="shared" si="103"/>
        <v>0</v>
      </c>
    </row>
    <row r="552" spans="1:32" x14ac:dyDescent="0.25">
      <c r="A552" s="315" t="s">
        <v>486</v>
      </c>
      <c r="B552" s="315" t="s">
        <v>1301</v>
      </c>
      <c r="C552" s="314" t="str">
        <f t="shared" si="104"/>
        <v>A</v>
      </c>
      <c r="D552" s="146" t="str">
        <f t="shared" si="105"/>
        <v>4</v>
      </c>
      <c r="E552" s="147" t="s">
        <v>440</v>
      </c>
      <c r="F552" s="147" t="s">
        <v>323</v>
      </c>
      <c r="G552" s="147" t="s">
        <v>38</v>
      </c>
      <c r="H552" s="148" t="s">
        <v>279</v>
      </c>
      <c r="I552" s="316">
        <v>15000</v>
      </c>
      <c r="J552" s="170">
        <f t="shared" si="106"/>
        <v>0</v>
      </c>
      <c r="K552" s="168" t="str">
        <f t="shared" si="107"/>
        <v xml:space="preserve"> </v>
      </c>
      <c r="L552" s="147">
        <f>$I$552*L7</f>
        <v>4893.6518324607332</v>
      </c>
      <c r="M552" s="147">
        <f t="shared" ref="M552:P552" si="115">$I$552*M7</f>
        <v>3534.0314136125653</v>
      </c>
      <c r="N552" s="147">
        <f t="shared" si="115"/>
        <v>2105.6937172774869</v>
      </c>
      <c r="O552" s="147">
        <f t="shared" si="115"/>
        <v>2154.7774869109949</v>
      </c>
      <c r="P552" s="147">
        <f t="shared" si="115"/>
        <v>2311.8455497382201</v>
      </c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32">
        <f t="shared" si="101"/>
        <v>15000</v>
      </c>
      <c r="AE552" s="132">
        <f t="shared" si="102"/>
        <v>15000</v>
      </c>
      <c r="AF552" s="150">
        <f t="shared" si="103"/>
        <v>0</v>
      </c>
    </row>
    <row r="553" spans="1:32" x14ac:dyDescent="0.25">
      <c r="A553" s="315" t="s">
        <v>692</v>
      </c>
      <c r="B553" s="315" t="s">
        <v>646</v>
      </c>
      <c r="C553" s="314" t="str">
        <f t="shared" si="104"/>
        <v>A</v>
      </c>
      <c r="D553" s="146" t="str">
        <f t="shared" si="105"/>
        <v>1</v>
      </c>
      <c r="E553" s="147" t="s">
        <v>440</v>
      </c>
      <c r="F553" s="147" t="s">
        <v>320</v>
      </c>
      <c r="G553" s="147" t="s">
        <v>38</v>
      </c>
      <c r="H553" s="148" t="s">
        <v>279</v>
      </c>
      <c r="I553" s="316">
        <v>144060</v>
      </c>
      <c r="J553" s="170">
        <f t="shared" si="106"/>
        <v>0</v>
      </c>
      <c r="K553" s="168" t="str">
        <f t="shared" si="107"/>
        <v xml:space="preserve"> </v>
      </c>
      <c r="L553" s="147">
        <f>I553</f>
        <v>144060</v>
      </c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32">
        <f t="shared" si="101"/>
        <v>144060</v>
      </c>
      <c r="AE553" s="132">
        <f t="shared" si="102"/>
        <v>144060</v>
      </c>
      <c r="AF553" s="150">
        <f t="shared" si="103"/>
        <v>0</v>
      </c>
    </row>
    <row r="554" spans="1:32" x14ac:dyDescent="0.25">
      <c r="A554" s="315" t="s">
        <v>1751</v>
      </c>
      <c r="B554" s="315" t="s">
        <v>1390</v>
      </c>
      <c r="C554" s="314" t="str">
        <f t="shared" si="104"/>
        <v>A</v>
      </c>
      <c r="D554" s="146" t="str">
        <f t="shared" si="105"/>
        <v>1</v>
      </c>
      <c r="E554" s="147" t="s">
        <v>440</v>
      </c>
      <c r="F554" s="147" t="s">
        <v>320</v>
      </c>
      <c r="G554" s="147" t="s">
        <v>38</v>
      </c>
      <c r="H554" s="148" t="s">
        <v>279</v>
      </c>
      <c r="I554" s="316">
        <v>50635</v>
      </c>
      <c r="J554" s="170">
        <f t="shared" si="106"/>
        <v>0</v>
      </c>
      <c r="K554" s="168" t="str">
        <f t="shared" si="107"/>
        <v xml:space="preserve"> </v>
      </c>
      <c r="L554" s="147"/>
      <c r="M554" s="147">
        <f>I554</f>
        <v>50635</v>
      </c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32">
        <f t="shared" si="101"/>
        <v>50635</v>
      </c>
      <c r="AE554" s="132">
        <f t="shared" si="102"/>
        <v>50635</v>
      </c>
      <c r="AF554" s="150">
        <f t="shared" si="103"/>
        <v>0</v>
      </c>
    </row>
    <row r="555" spans="1:32" x14ac:dyDescent="0.25">
      <c r="A555" s="315" t="s">
        <v>1593</v>
      </c>
      <c r="B555" s="315" t="s">
        <v>1474</v>
      </c>
      <c r="C555" s="314" t="str">
        <f t="shared" si="104"/>
        <v>A</v>
      </c>
      <c r="D555" s="146" t="str">
        <f t="shared" si="105"/>
        <v>1</v>
      </c>
      <c r="E555" s="147" t="s">
        <v>440</v>
      </c>
      <c r="F555" s="147" t="s">
        <v>320</v>
      </c>
      <c r="G555" s="147" t="s">
        <v>38</v>
      </c>
      <c r="H555" s="148" t="s">
        <v>279</v>
      </c>
      <c r="I555" s="316">
        <v>104359</v>
      </c>
      <c r="J555" s="170">
        <f t="shared" si="106"/>
        <v>0</v>
      </c>
      <c r="K555" s="168" t="str">
        <f t="shared" si="107"/>
        <v xml:space="preserve"> </v>
      </c>
      <c r="L555" s="147"/>
      <c r="M555" s="147"/>
      <c r="N555" s="147"/>
      <c r="O555" s="147"/>
      <c r="P555" s="147">
        <f>I555</f>
        <v>104359</v>
      </c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32">
        <f t="shared" si="101"/>
        <v>104359</v>
      </c>
      <c r="AE555" s="132">
        <f t="shared" si="102"/>
        <v>104359</v>
      </c>
      <c r="AF555" s="150">
        <f t="shared" si="103"/>
        <v>0</v>
      </c>
    </row>
    <row r="556" spans="1:32" x14ac:dyDescent="0.25">
      <c r="A556" s="315" t="s">
        <v>1308</v>
      </c>
      <c r="B556" s="315" t="s">
        <v>1522</v>
      </c>
      <c r="C556" s="314" t="str">
        <f t="shared" si="104"/>
        <v>A</v>
      </c>
      <c r="D556" s="146" t="str">
        <f t="shared" si="105"/>
        <v>1</v>
      </c>
      <c r="E556" s="147" t="s">
        <v>440</v>
      </c>
      <c r="F556" s="147" t="s">
        <v>320</v>
      </c>
      <c r="G556" s="147" t="s">
        <v>38</v>
      </c>
      <c r="H556" s="148" t="s">
        <v>279</v>
      </c>
      <c r="I556" s="316">
        <v>38692</v>
      </c>
      <c r="J556" s="170">
        <f t="shared" si="106"/>
        <v>0</v>
      </c>
      <c r="K556" s="168" t="str">
        <f t="shared" si="107"/>
        <v xml:space="preserve"> </v>
      </c>
      <c r="L556" s="147">
        <f>$I$556*L7</f>
        <v>12623.011780104713</v>
      </c>
      <c r="M556" s="147">
        <f t="shared" ref="M556:P556" si="116">$I$556*M7</f>
        <v>9115.9162303664925</v>
      </c>
      <c r="N556" s="147">
        <f t="shared" si="116"/>
        <v>5431.5667539267015</v>
      </c>
      <c r="O556" s="147">
        <f t="shared" si="116"/>
        <v>5558.176701570681</v>
      </c>
      <c r="P556" s="147">
        <f t="shared" si="116"/>
        <v>5963.3285340314142</v>
      </c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32">
        <f t="shared" si="101"/>
        <v>38692</v>
      </c>
      <c r="AE556" s="132">
        <f t="shared" si="102"/>
        <v>38692</v>
      </c>
      <c r="AF556" s="150">
        <f t="shared" si="103"/>
        <v>0</v>
      </c>
    </row>
    <row r="557" spans="1:32" x14ac:dyDescent="0.25">
      <c r="A557" s="315" t="s">
        <v>652</v>
      </c>
      <c r="B557" s="315" t="s">
        <v>992</v>
      </c>
      <c r="C557" s="314" t="str">
        <f t="shared" si="104"/>
        <v>A</v>
      </c>
      <c r="D557" s="146" t="str">
        <f t="shared" si="105"/>
        <v>4</v>
      </c>
      <c r="E557" s="147" t="s">
        <v>440</v>
      </c>
      <c r="F557" s="147" t="s">
        <v>323</v>
      </c>
      <c r="G557" s="147" t="s">
        <v>38</v>
      </c>
      <c r="H557" s="148" t="s">
        <v>279</v>
      </c>
      <c r="I557" s="316">
        <v>137879</v>
      </c>
      <c r="J557" s="170">
        <f t="shared" si="106"/>
        <v>0</v>
      </c>
      <c r="K557" s="168" t="str">
        <f t="shared" si="107"/>
        <v xml:space="preserve"> </v>
      </c>
      <c r="L557" s="147">
        <f>I557</f>
        <v>137879</v>
      </c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32">
        <f t="shared" si="101"/>
        <v>137879</v>
      </c>
      <c r="AE557" s="132">
        <f t="shared" si="102"/>
        <v>137879</v>
      </c>
      <c r="AF557" s="150">
        <f t="shared" si="103"/>
        <v>0</v>
      </c>
    </row>
    <row r="558" spans="1:32" x14ac:dyDescent="0.25">
      <c r="A558" s="315" t="s">
        <v>949</v>
      </c>
      <c r="B558" s="315" t="s">
        <v>591</v>
      </c>
      <c r="C558" s="314" t="str">
        <f t="shared" si="104"/>
        <v>A</v>
      </c>
      <c r="D558" s="146" t="str">
        <f t="shared" si="105"/>
        <v>4</v>
      </c>
      <c r="E558" s="147" t="s">
        <v>440</v>
      </c>
      <c r="F558" s="147" t="s">
        <v>323</v>
      </c>
      <c r="G558" s="147" t="s">
        <v>38</v>
      </c>
      <c r="H558" s="148" t="s">
        <v>279</v>
      </c>
      <c r="I558" s="316">
        <v>76321</v>
      </c>
      <c r="J558" s="170">
        <f t="shared" si="106"/>
        <v>0</v>
      </c>
      <c r="K558" s="168" t="str">
        <f t="shared" si="107"/>
        <v xml:space="preserve"> </v>
      </c>
      <c r="L558" s="147"/>
      <c r="M558" s="147">
        <f>I558</f>
        <v>76321</v>
      </c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32">
        <f t="shared" si="101"/>
        <v>76321</v>
      </c>
      <c r="AE558" s="132">
        <f t="shared" si="102"/>
        <v>76321</v>
      </c>
      <c r="AF558" s="150">
        <f t="shared" si="103"/>
        <v>0</v>
      </c>
    </row>
    <row r="559" spans="1:32" x14ac:dyDescent="0.25">
      <c r="A559" s="315" t="s">
        <v>543</v>
      </c>
      <c r="B559" s="315" t="s">
        <v>1250</v>
      </c>
      <c r="C559" s="314" t="str">
        <f t="shared" si="104"/>
        <v>A</v>
      </c>
      <c r="D559" s="146" t="str">
        <f t="shared" si="105"/>
        <v>4</v>
      </c>
      <c r="E559" s="147" t="s">
        <v>440</v>
      </c>
      <c r="F559" s="147" t="s">
        <v>323</v>
      </c>
      <c r="G559" s="147" t="s">
        <v>38</v>
      </c>
      <c r="H559" s="148" t="s">
        <v>279</v>
      </c>
      <c r="I559" s="316">
        <v>106849</v>
      </c>
      <c r="J559" s="170">
        <f t="shared" si="106"/>
        <v>0</v>
      </c>
      <c r="K559" s="168" t="str">
        <f t="shared" si="107"/>
        <v xml:space="preserve"> </v>
      </c>
      <c r="L559" s="147"/>
      <c r="M559" s="147"/>
      <c r="N559" s="147">
        <f>I559</f>
        <v>106849</v>
      </c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32">
        <f t="shared" si="101"/>
        <v>106849</v>
      </c>
      <c r="AE559" s="132">
        <f t="shared" si="102"/>
        <v>106849</v>
      </c>
      <c r="AF559" s="150">
        <f t="shared" si="103"/>
        <v>0</v>
      </c>
    </row>
    <row r="560" spans="1:32" x14ac:dyDescent="0.25">
      <c r="A560" s="315" t="s">
        <v>1588</v>
      </c>
      <c r="B560" s="315" t="s">
        <v>466</v>
      </c>
      <c r="C560" s="314" t="str">
        <f t="shared" si="104"/>
        <v>A</v>
      </c>
      <c r="D560" s="146" t="str">
        <f t="shared" si="105"/>
        <v>4</v>
      </c>
      <c r="E560" s="147" t="s">
        <v>440</v>
      </c>
      <c r="F560" s="147" t="s">
        <v>323</v>
      </c>
      <c r="G560" s="147" t="s">
        <v>38</v>
      </c>
      <c r="H560" s="148" t="s">
        <v>279</v>
      </c>
      <c r="I560" s="316">
        <v>106849</v>
      </c>
      <c r="J560" s="170">
        <f t="shared" si="106"/>
        <v>0</v>
      </c>
      <c r="K560" s="168" t="str">
        <f t="shared" si="107"/>
        <v xml:space="preserve"> </v>
      </c>
      <c r="L560" s="147"/>
      <c r="M560" s="147"/>
      <c r="N560" s="147"/>
      <c r="O560" s="147">
        <f>I560</f>
        <v>106849</v>
      </c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32">
        <f t="shared" si="101"/>
        <v>106849</v>
      </c>
      <c r="AE560" s="132">
        <f t="shared" si="102"/>
        <v>106849</v>
      </c>
      <c r="AF560" s="150">
        <f t="shared" si="103"/>
        <v>0</v>
      </c>
    </row>
    <row r="561" spans="1:32" x14ac:dyDescent="0.25">
      <c r="A561" s="315" t="s">
        <v>910</v>
      </c>
      <c r="B561" s="315" t="s">
        <v>480</v>
      </c>
      <c r="C561" s="314" t="str">
        <f t="shared" si="104"/>
        <v>A</v>
      </c>
      <c r="D561" s="146" t="str">
        <f t="shared" si="105"/>
        <v>4</v>
      </c>
      <c r="E561" s="147" t="s">
        <v>440</v>
      </c>
      <c r="F561" s="147" t="s">
        <v>323</v>
      </c>
      <c r="G561" s="147" t="s">
        <v>38</v>
      </c>
      <c r="H561" s="148" t="s">
        <v>279</v>
      </c>
      <c r="I561" s="316">
        <v>15264</v>
      </c>
      <c r="J561" s="170">
        <f t="shared" si="106"/>
        <v>0</v>
      </c>
      <c r="K561" s="168" t="str">
        <f t="shared" si="107"/>
        <v xml:space="preserve"> </v>
      </c>
      <c r="L561" s="147"/>
      <c r="M561" s="147"/>
      <c r="N561" s="147"/>
      <c r="O561" s="147"/>
      <c r="P561" s="147">
        <f>I561</f>
        <v>15264</v>
      </c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32">
        <f t="shared" si="101"/>
        <v>15264</v>
      </c>
      <c r="AE561" s="132">
        <f t="shared" si="102"/>
        <v>15264</v>
      </c>
      <c r="AF561" s="150">
        <f t="shared" si="103"/>
        <v>0</v>
      </c>
    </row>
    <row r="562" spans="1:32" x14ac:dyDescent="0.25">
      <c r="A562" s="315" t="s">
        <v>1453</v>
      </c>
      <c r="B562" s="315" t="s">
        <v>1150</v>
      </c>
      <c r="C562" s="314" t="str">
        <f t="shared" si="104"/>
        <v>A</v>
      </c>
      <c r="D562" s="146" t="str">
        <f t="shared" si="105"/>
        <v>4</v>
      </c>
      <c r="E562" s="147" t="s">
        <v>440</v>
      </c>
      <c r="F562" s="147" t="s">
        <v>323</v>
      </c>
      <c r="G562" s="147" t="s">
        <v>38</v>
      </c>
      <c r="H562" s="148" t="s">
        <v>279</v>
      </c>
      <c r="I562" s="316">
        <v>240</v>
      </c>
      <c r="J562" s="170">
        <f t="shared" si="106"/>
        <v>0</v>
      </c>
      <c r="K562" s="168" t="str">
        <f t="shared" si="107"/>
        <v xml:space="preserve"> </v>
      </c>
      <c r="L562" s="147">
        <f>I562</f>
        <v>240</v>
      </c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32">
        <f t="shared" si="101"/>
        <v>240</v>
      </c>
      <c r="AE562" s="132">
        <f t="shared" si="102"/>
        <v>240</v>
      </c>
      <c r="AF562" s="150">
        <f t="shared" si="103"/>
        <v>0</v>
      </c>
    </row>
    <row r="563" spans="1:32" x14ac:dyDescent="0.25">
      <c r="A563" s="315" t="s">
        <v>839</v>
      </c>
      <c r="B563" s="315" t="s">
        <v>1440</v>
      </c>
      <c r="C563" s="314" t="str">
        <f t="shared" si="104"/>
        <v>A</v>
      </c>
      <c r="D563" s="146" t="str">
        <f t="shared" si="105"/>
        <v>4</v>
      </c>
      <c r="E563" s="147" t="s">
        <v>440</v>
      </c>
      <c r="F563" s="147" t="s">
        <v>323</v>
      </c>
      <c r="G563" s="147" t="s">
        <v>38</v>
      </c>
      <c r="H563" s="148" t="s">
        <v>279</v>
      </c>
      <c r="I563" s="316">
        <v>80</v>
      </c>
      <c r="J563" s="170">
        <f t="shared" si="106"/>
        <v>0</v>
      </c>
      <c r="K563" s="168" t="str">
        <f t="shared" si="107"/>
        <v xml:space="preserve"> </v>
      </c>
      <c r="L563" s="147">
        <f>I563</f>
        <v>80</v>
      </c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32">
        <f t="shared" si="101"/>
        <v>80</v>
      </c>
      <c r="AE563" s="132">
        <f t="shared" si="102"/>
        <v>80</v>
      </c>
      <c r="AF563" s="150">
        <f t="shared" si="103"/>
        <v>0</v>
      </c>
    </row>
    <row r="564" spans="1:32" x14ac:dyDescent="0.25">
      <c r="A564" s="315" t="s">
        <v>954</v>
      </c>
      <c r="B564" s="315" t="s">
        <v>1026</v>
      </c>
      <c r="C564" s="314" t="str">
        <f t="shared" si="104"/>
        <v>A</v>
      </c>
      <c r="D564" s="146" t="str">
        <f t="shared" si="105"/>
        <v>1</v>
      </c>
      <c r="E564" s="147" t="s">
        <v>440</v>
      </c>
      <c r="F564" s="147" t="s">
        <v>320</v>
      </c>
      <c r="G564" s="147" t="s">
        <v>38</v>
      </c>
      <c r="H564" s="148" t="s">
        <v>279</v>
      </c>
      <c r="I564" s="316">
        <v>16925</v>
      </c>
      <c r="J564" s="170">
        <f t="shared" si="106"/>
        <v>0</v>
      </c>
      <c r="K564" s="168" t="str">
        <f t="shared" si="107"/>
        <v xml:space="preserve"> </v>
      </c>
      <c r="L564" s="147">
        <f>I564*0.75</f>
        <v>12693.75</v>
      </c>
      <c r="M564" s="147">
        <f>I564*0.25</f>
        <v>4231.25</v>
      </c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32">
        <f t="shared" si="101"/>
        <v>16925</v>
      </c>
      <c r="AE564" s="132">
        <f t="shared" si="102"/>
        <v>16925</v>
      </c>
      <c r="AF564" s="150">
        <f t="shared" si="103"/>
        <v>0</v>
      </c>
    </row>
    <row r="565" spans="1:32" x14ac:dyDescent="0.25">
      <c r="A565" s="315" t="s">
        <v>688</v>
      </c>
      <c r="B565" s="315" t="s">
        <v>635</v>
      </c>
      <c r="C565" s="314" t="str">
        <f t="shared" si="104"/>
        <v>A</v>
      </c>
      <c r="D565" s="146" t="str">
        <f t="shared" si="105"/>
        <v>1</v>
      </c>
      <c r="E565" s="147" t="s">
        <v>440</v>
      </c>
      <c r="F565" s="147" t="s">
        <v>320</v>
      </c>
      <c r="G565" s="147" t="s">
        <v>38</v>
      </c>
      <c r="H565" s="148" t="s">
        <v>279</v>
      </c>
      <c r="I565" s="316">
        <v>425000</v>
      </c>
      <c r="J565" s="170">
        <f t="shared" si="106"/>
        <v>0</v>
      </c>
      <c r="K565" s="168" t="str">
        <f t="shared" si="107"/>
        <v xml:space="preserve"> </v>
      </c>
      <c r="L565" s="147">
        <f>I565*0.75</f>
        <v>318750</v>
      </c>
      <c r="M565" s="147">
        <f>I565*0.25</f>
        <v>106250</v>
      </c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32">
        <f t="shared" si="101"/>
        <v>425000</v>
      </c>
      <c r="AE565" s="132">
        <f t="shared" si="102"/>
        <v>425000</v>
      </c>
      <c r="AF565" s="150">
        <f t="shared" si="103"/>
        <v>0</v>
      </c>
    </row>
    <row r="566" spans="1:32" x14ac:dyDescent="0.25">
      <c r="A566" s="315" t="s">
        <v>541</v>
      </c>
      <c r="B566" s="315" t="s">
        <v>1591</v>
      </c>
      <c r="C566" s="314" t="str">
        <f t="shared" si="104"/>
        <v>A</v>
      </c>
      <c r="D566" s="146" t="str">
        <f t="shared" si="105"/>
        <v>1</v>
      </c>
      <c r="E566" s="147" t="s">
        <v>440</v>
      </c>
      <c r="F566" s="147" t="s">
        <v>320</v>
      </c>
      <c r="G566" s="147" t="s">
        <v>38</v>
      </c>
      <c r="H566" s="148" t="s">
        <v>279</v>
      </c>
      <c r="I566" s="316">
        <v>2211</v>
      </c>
      <c r="J566" s="170">
        <f t="shared" si="106"/>
        <v>0</v>
      </c>
      <c r="K566" s="168" t="str">
        <f t="shared" si="107"/>
        <v xml:space="preserve"> </v>
      </c>
      <c r="L566" s="147">
        <f t="shared" ref="L566:L567" si="117">I566*0.75</f>
        <v>1658.25</v>
      </c>
      <c r="M566" s="147">
        <f t="shared" ref="M566:M567" si="118">I566*0.25</f>
        <v>552.75</v>
      </c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32">
        <f t="shared" si="101"/>
        <v>2211</v>
      </c>
      <c r="AE566" s="132">
        <f t="shared" si="102"/>
        <v>2211</v>
      </c>
      <c r="AF566" s="150">
        <f t="shared" si="103"/>
        <v>0</v>
      </c>
    </row>
    <row r="567" spans="1:32" x14ac:dyDescent="0.25">
      <c r="A567" s="315" t="s">
        <v>787</v>
      </c>
      <c r="B567" s="315" t="s">
        <v>650</v>
      </c>
      <c r="C567" s="314" t="str">
        <f t="shared" si="104"/>
        <v>A</v>
      </c>
      <c r="D567" s="146" t="str">
        <f t="shared" si="105"/>
        <v>1</v>
      </c>
      <c r="E567" s="147" t="s">
        <v>440</v>
      </c>
      <c r="F567" s="147" t="s">
        <v>320</v>
      </c>
      <c r="G567" s="147" t="s">
        <v>38</v>
      </c>
      <c r="H567" s="148" t="s">
        <v>279</v>
      </c>
      <c r="I567" s="316">
        <v>1105</v>
      </c>
      <c r="J567" s="170">
        <f t="shared" si="106"/>
        <v>0</v>
      </c>
      <c r="K567" s="168" t="str">
        <f t="shared" si="107"/>
        <v xml:space="preserve"> </v>
      </c>
      <c r="L567" s="147">
        <f t="shared" si="117"/>
        <v>828.75</v>
      </c>
      <c r="M567" s="147">
        <f t="shared" si="118"/>
        <v>276.25</v>
      </c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32">
        <f t="shared" si="101"/>
        <v>1105</v>
      </c>
      <c r="AE567" s="132">
        <f t="shared" si="102"/>
        <v>1105</v>
      </c>
      <c r="AF567" s="150">
        <f t="shared" si="103"/>
        <v>0</v>
      </c>
    </row>
    <row r="568" spans="1:32" x14ac:dyDescent="0.25">
      <c r="A568" s="315" t="s">
        <v>1204</v>
      </c>
      <c r="B568" s="315" t="s">
        <v>1267</v>
      </c>
      <c r="C568" s="314" t="str">
        <f t="shared" si="104"/>
        <v>A</v>
      </c>
      <c r="D568" s="146" t="str">
        <f t="shared" si="105"/>
        <v>2</v>
      </c>
      <c r="E568" s="147" t="s">
        <v>440</v>
      </c>
      <c r="F568" s="147" t="s">
        <v>323</v>
      </c>
      <c r="G568" s="147" t="s">
        <v>38</v>
      </c>
      <c r="H568" s="148" t="s">
        <v>279</v>
      </c>
      <c r="I568" s="316">
        <v>3200</v>
      </c>
      <c r="J568" s="170">
        <f t="shared" si="106"/>
        <v>0</v>
      </c>
      <c r="K568" s="168" t="str">
        <f t="shared" si="107"/>
        <v xml:space="preserve"> </v>
      </c>
      <c r="L568" s="147">
        <f t="shared" ref="L568:L574" si="119">I568*0.75</f>
        <v>2400</v>
      </c>
      <c r="M568" s="147">
        <f t="shared" ref="M568:M574" si="120">I568*0.25</f>
        <v>800</v>
      </c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32">
        <f t="shared" si="101"/>
        <v>3200</v>
      </c>
      <c r="AE568" s="132">
        <f t="shared" si="102"/>
        <v>3200</v>
      </c>
      <c r="AF568" s="150">
        <f t="shared" si="103"/>
        <v>0</v>
      </c>
    </row>
    <row r="569" spans="1:32" x14ac:dyDescent="0.25">
      <c r="A569" s="315" t="s">
        <v>853</v>
      </c>
      <c r="B569" s="315" t="s">
        <v>1567</v>
      </c>
      <c r="C569" s="314" t="str">
        <f t="shared" si="104"/>
        <v>A</v>
      </c>
      <c r="D569" s="146" t="str">
        <f t="shared" si="105"/>
        <v>4</v>
      </c>
      <c r="E569" s="147" t="s">
        <v>440</v>
      </c>
      <c r="F569" s="147" t="s">
        <v>323</v>
      </c>
      <c r="G569" s="147" t="s">
        <v>38</v>
      </c>
      <c r="H569" s="148" t="s">
        <v>279</v>
      </c>
      <c r="I569" s="316">
        <v>55000</v>
      </c>
      <c r="J569" s="170">
        <f t="shared" si="106"/>
        <v>0</v>
      </c>
      <c r="K569" s="168" t="str">
        <f t="shared" si="107"/>
        <v xml:space="preserve"> </v>
      </c>
      <c r="L569" s="147">
        <f t="shared" si="119"/>
        <v>41250</v>
      </c>
      <c r="M569" s="147">
        <f t="shared" si="120"/>
        <v>13750</v>
      </c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32">
        <f t="shared" si="101"/>
        <v>55000</v>
      </c>
      <c r="AE569" s="132">
        <f t="shared" si="102"/>
        <v>55000</v>
      </c>
      <c r="AF569" s="150">
        <f t="shared" si="103"/>
        <v>0</v>
      </c>
    </row>
    <row r="570" spans="1:32" x14ac:dyDescent="0.25">
      <c r="A570" s="315" t="s">
        <v>1065</v>
      </c>
      <c r="B570" s="315" t="s">
        <v>1437</v>
      </c>
      <c r="C570" s="314" t="str">
        <f t="shared" si="104"/>
        <v>A</v>
      </c>
      <c r="D570" s="146" t="str">
        <f t="shared" si="105"/>
        <v>4</v>
      </c>
      <c r="E570" s="147" t="s">
        <v>440</v>
      </c>
      <c r="F570" s="147" t="s">
        <v>323</v>
      </c>
      <c r="G570" s="147" t="s">
        <v>38</v>
      </c>
      <c r="H570" s="148" t="s">
        <v>279</v>
      </c>
      <c r="I570" s="316">
        <v>94974</v>
      </c>
      <c r="J570" s="170">
        <f t="shared" si="106"/>
        <v>0</v>
      </c>
      <c r="K570" s="168" t="str">
        <f t="shared" si="107"/>
        <v xml:space="preserve"> </v>
      </c>
      <c r="L570" s="147">
        <f t="shared" si="119"/>
        <v>71230.5</v>
      </c>
      <c r="M570" s="147">
        <f t="shared" si="120"/>
        <v>23743.5</v>
      </c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32">
        <f t="shared" si="101"/>
        <v>94974</v>
      </c>
      <c r="AE570" s="132">
        <f t="shared" si="102"/>
        <v>94974</v>
      </c>
      <c r="AF570" s="150">
        <f t="shared" si="103"/>
        <v>0</v>
      </c>
    </row>
    <row r="571" spans="1:32" x14ac:dyDescent="0.25">
      <c r="A571" s="315" t="s">
        <v>766</v>
      </c>
      <c r="B571" s="315" t="s">
        <v>1222</v>
      </c>
      <c r="C571" s="314" t="str">
        <f t="shared" si="104"/>
        <v>A</v>
      </c>
      <c r="D571" s="146" t="str">
        <f t="shared" si="105"/>
        <v>4</v>
      </c>
      <c r="E571" s="147" t="s">
        <v>440</v>
      </c>
      <c r="F571" s="147" t="s">
        <v>323</v>
      </c>
      <c r="G571" s="147" t="s">
        <v>38</v>
      </c>
      <c r="H571" s="148" t="s">
        <v>279</v>
      </c>
      <c r="I571" s="316">
        <v>13600</v>
      </c>
      <c r="J571" s="170">
        <f t="shared" si="106"/>
        <v>0</v>
      </c>
      <c r="K571" s="168" t="str">
        <f t="shared" si="107"/>
        <v xml:space="preserve"> </v>
      </c>
      <c r="L571" s="147">
        <f t="shared" si="119"/>
        <v>10200</v>
      </c>
      <c r="M571" s="147">
        <f t="shared" si="120"/>
        <v>3400</v>
      </c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32">
        <f t="shared" si="101"/>
        <v>13600</v>
      </c>
      <c r="AE571" s="132">
        <f t="shared" si="102"/>
        <v>13600</v>
      </c>
      <c r="AF571" s="150">
        <f t="shared" si="103"/>
        <v>0</v>
      </c>
    </row>
    <row r="572" spans="1:32" x14ac:dyDescent="0.25">
      <c r="A572" s="315" t="s">
        <v>672</v>
      </c>
      <c r="B572" s="315" t="s">
        <v>690</v>
      </c>
      <c r="C572" s="314" t="str">
        <f t="shared" si="104"/>
        <v>A</v>
      </c>
      <c r="D572" s="146" t="str">
        <f t="shared" si="105"/>
        <v>4</v>
      </c>
      <c r="E572" s="147" t="s">
        <v>440</v>
      </c>
      <c r="F572" s="147" t="s">
        <v>323</v>
      </c>
      <c r="G572" s="147" t="s">
        <v>38</v>
      </c>
      <c r="H572" s="148" t="s">
        <v>279</v>
      </c>
      <c r="I572" s="316">
        <v>30400</v>
      </c>
      <c r="J572" s="170">
        <f t="shared" si="106"/>
        <v>0</v>
      </c>
      <c r="K572" s="168" t="str">
        <f t="shared" si="107"/>
        <v xml:space="preserve"> </v>
      </c>
      <c r="L572" s="147">
        <f t="shared" si="119"/>
        <v>22800</v>
      </c>
      <c r="M572" s="147">
        <f t="shared" si="120"/>
        <v>7600</v>
      </c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32">
        <f t="shared" si="101"/>
        <v>30400</v>
      </c>
      <c r="AE572" s="132">
        <f t="shared" si="102"/>
        <v>30400</v>
      </c>
      <c r="AF572" s="150">
        <f t="shared" si="103"/>
        <v>0</v>
      </c>
    </row>
    <row r="573" spans="1:32" x14ac:dyDescent="0.25">
      <c r="A573" s="315" t="s">
        <v>1666</v>
      </c>
      <c r="B573" s="315" t="s">
        <v>1655</v>
      </c>
      <c r="C573" s="314" t="str">
        <f t="shared" si="104"/>
        <v>A</v>
      </c>
      <c r="D573" s="146" t="str">
        <f t="shared" si="105"/>
        <v>4</v>
      </c>
      <c r="E573" s="147" t="s">
        <v>440</v>
      </c>
      <c r="F573" s="147" t="s">
        <v>323</v>
      </c>
      <c r="G573" s="147" t="s">
        <v>38</v>
      </c>
      <c r="H573" s="148" t="s">
        <v>279</v>
      </c>
      <c r="I573" s="316">
        <v>640</v>
      </c>
      <c r="J573" s="170">
        <f t="shared" si="106"/>
        <v>0</v>
      </c>
      <c r="K573" s="168" t="str">
        <f t="shared" si="107"/>
        <v xml:space="preserve"> </v>
      </c>
      <c r="L573" s="147">
        <f t="shared" si="119"/>
        <v>480</v>
      </c>
      <c r="M573" s="147">
        <f t="shared" si="120"/>
        <v>160</v>
      </c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32">
        <f t="shared" si="101"/>
        <v>640</v>
      </c>
      <c r="AE573" s="132">
        <f t="shared" si="102"/>
        <v>640</v>
      </c>
      <c r="AF573" s="150">
        <f t="shared" si="103"/>
        <v>0</v>
      </c>
    </row>
    <row r="574" spans="1:32" x14ac:dyDescent="0.25">
      <c r="A574" s="315" t="s">
        <v>1274</v>
      </c>
      <c r="B574" s="315" t="s">
        <v>1232</v>
      </c>
      <c r="C574" s="314" t="str">
        <f t="shared" si="104"/>
        <v>A</v>
      </c>
      <c r="D574" s="146" t="str">
        <f t="shared" si="105"/>
        <v>4</v>
      </c>
      <c r="E574" s="147" t="s">
        <v>440</v>
      </c>
      <c r="F574" s="147" t="s">
        <v>323</v>
      </c>
      <c r="G574" s="147" t="s">
        <v>38</v>
      </c>
      <c r="H574" s="148" t="s">
        <v>279</v>
      </c>
      <c r="I574" s="316">
        <v>2800</v>
      </c>
      <c r="J574" s="170">
        <f t="shared" si="106"/>
        <v>0</v>
      </c>
      <c r="K574" s="168" t="str">
        <f t="shared" si="107"/>
        <v xml:space="preserve"> </v>
      </c>
      <c r="L574" s="147">
        <f t="shared" si="119"/>
        <v>2100</v>
      </c>
      <c r="M574" s="147">
        <f t="shared" si="120"/>
        <v>700</v>
      </c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32">
        <f t="shared" si="101"/>
        <v>2800</v>
      </c>
      <c r="AE574" s="132">
        <f t="shared" si="102"/>
        <v>2800</v>
      </c>
      <c r="AF574" s="150">
        <f t="shared" si="103"/>
        <v>0</v>
      </c>
    </row>
    <row r="575" spans="1:32" x14ac:dyDescent="0.25">
      <c r="A575" s="315" t="s">
        <v>1710</v>
      </c>
      <c r="B575" s="315" t="s">
        <v>1519</v>
      </c>
      <c r="C575" s="314" t="str">
        <f t="shared" si="104"/>
        <v>A</v>
      </c>
      <c r="D575" s="146" t="str">
        <f t="shared" si="105"/>
        <v>4</v>
      </c>
      <c r="E575" s="147" t="s">
        <v>440</v>
      </c>
      <c r="F575" s="147" t="s">
        <v>322</v>
      </c>
      <c r="G575" s="147" t="s">
        <v>38</v>
      </c>
      <c r="H575" s="148" t="s">
        <v>279</v>
      </c>
      <c r="I575" s="316">
        <v>6663</v>
      </c>
      <c r="J575" s="170">
        <f t="shared" si="106"/>
        <v>0</v>
      </c>
      <c r="K575" s="168" t="str">
        <f t="shared" si="107"/>
        <v xml:space="preserve"> </v>
      </c>
      <c r="L575" s="147">
        <f t="shared" ref="L575" si="121">I575*0.75</f>
        <v>4997.25</v>
      </c>
      <c r="M575" s="147">
        <f t="shared" ref="M575" si="122">I575*0.25</f>
        <v>1665.75</v>
      </c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32">
        <f t="shared" si="101"/>
        <v>6663</v>
      </c>
      <c r="AE575" s="132">
        <f t="shared" si="102"/>
        <v>6663</v>
      </c>
      <c r="AF575" s="150">
        <f t="shared" si="103"/>
        <v>0</v>
      </c>
    </row>
    <row r="576" spans="1:32" x14ac:dyDescent="0.25">
      <c r="A576" s="315" t="s">
        <v>1162</v>
      </c>
      <c r="B576" s="315" t="s">
        <v>583</v>
      </c>
      <c r="C576" s="314" t="str">
        <f t="shared" si="104"/>
        <v>A</v>
      </c>
      <c r="D576" s="146" t="str">
        <f t="shared" si="105"/>
        <v>1</v>
      </c>
      <c r="E576" s="147" t="s">
        <v>242</v>
      </c>
      <c r="F576" s="147"/>
      <c r="G576" s="147"/>
      <c r="H576" s="148" t="s">
        <v>279</v>
      </c>
      <c r="I576" s="316">
        <v>273556</v>
      </c>
      <c r="J576" s="170">
        <f t="shared" si="106"/>
        <v>0</v>
      </c>
      <c r="K576" s="168">
        <f t="shared" si="107"/>
        <v>273556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32">
        <f t="shared" si="101"/>
        <v>0</v>
      </c>
      <c r="AE576" s="132">
        <f t="shared" si="102"/>
        <v>273556</v>
      </c>
      <c r="AF576" s="150">
        <f t="shared" si="103"/>
        <v>0</v>
      </c>
    </row>
    <row r="577" spans="1:32" x14ac:dyDescent="0.25">
      <c r="A577" s="315" t="s">
        <v>601</v>
      </c>
      <c r="B577" s="315" t="s">
        <v>1754</v>
      </c>
      <c r="C577" s="314" t="str">
        <f t="shared" si="104"/>
        <v>A</v>
      </c>
      <c r="D577" s="146" t="str">
        <f t="shared" si="105"/>
        <v>1</v>
      </c>
      <c r="E577" s="147" t="s">
        <v>242</v>
      </c>
      <c r="F577" s="147"/>
      <c r="G577" s="147"/>
      <c r="H577" s="148" t="s">
        <v>279</v>
      </c>
      <c r="I577" s="316">
        <v>5000</v>
      </c>
      <c r="J577" s="170">
        <f t="shared" si="106"/>
        <v>0</v>
      </c>
      <c r="K577" s="168">
        <f t="shared" si="107"/>
        <v>5000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32">
        <f t="shared" si="101"/>
        <v>0</v>
      </c>
      <c r="AE577" s="132">
        <f t="shared" si="102"/>
        <v>5000</v>
      </c>
      <c r="AF577" s="150">
        <f t="shared" si="103"/>
        <v>0</v>
      </c>
    </row>
    <row r="578" spans="1:32" x14ac:dyDescent="0.25">
      <c r="A578" s="315" t="s">
        <v>1337</v>
      </c>
      <c r="B578" s="315" t="s">
        <v>805</v>
      </c>
      <c r="C578" s="314" t="str">
        <f t="shared" si="104"/>
        <v>A</v>
      </c>
      <c r="D578" s="146" t="str">
        <f t="shared" si="105"/>
        <v>1</v>
      </c>
      <c r="E578" s="147" t="s">
        <v>242</v>
      </c>
      <c r="F578" s="147"/>
      <c r="G578" s="147"/>
      <c r="H578" s="148" t="s">
        <v>279</v>
      </c>
      <c r="I578" s="316">
        <v>150000</v>
      </c>
      <c r="J578" s="170">
        <f t="shared" si="106"/>
        <v>0</v>
      </c>
      <c r="K578" s="168">
        <f t="shared" si="107"/>
        <v>150000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32">
        <f t="shared" si="101"/>
        <v>0</v>
      </c>
      <c r="AE578" s="132">
        <f t="shared" si="102"/>
        <v>150000</v>
      </c>
      <c r="AF578" s="150">
        <f t="shared" si="103"/>
        <v>0</v>
      </c>
    </row>
    <row r="579" spans="1:32" x14ac:dyDescent="0.25">
      <c r="A579" s="315" t="s">
        <v>1365</v>
      </c>
      <c r="B579" s="315" t="s">
        <v>933</v>
      </c>
      <c r="C579" s="314" t="str">
        <f t="shared" si="104"/>
        <v>A</v>
      </c>
      <c r="D579" s="146" t="str">
        <f t="shared" si="105"/>
        <v>1</v>
      </c>
      <c r="E579" s="147" t="s">
        <v>242</v>
      </c>
      <c r="F579" s="147"/>
      <c r="G579" s="147"/>
      <c r="H579" s="148" t="s">
        <v>279</v>
      </c>
      <c r="I579" s="316">
        <v>1392472</v>
      </c>
      <c r="J579" s="170">
        <f t="shared" si="106"/>
        <v>0</v>
      </c>
      <c r="K579" s="168">
        <f t="shared" si="107"/>
        <v>1392472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32">
        <f t="shared" si="101"/>
        <v>0</v>
      </c>
      <c r="AE579" s="132">
        <f t="shared" si="102"/>
        <v>1392472</v>
      </c>
      <c r="AF579" s="150">
        <f t="shared" si="103"/>
        <v>0</v>
      </c>
    </row>
    <row r="580" spans="1:32" x14ac:dyDescent="0.25">
      <c r="A580" s="315" t="s">
        <v>1423</v>
      </c>
      <c r="B580" s="315" t="s">
        <v>781</v>
      </c>
      <c r="C580" s="314" t="str">
        <f t="shared" si="104"/>
        <v>A</v>
      </c>
      <c r="D580" s="146" t="str">
        <f t="shared" si="105"/>
        <v>1</v>
      </c>
      <c r="E580" s="147" t="s">
        <v>242</v>
      </c>
      <c r="F580" s="147"/>
      <c r="G580" s="147"/>
      <c r="H580" s="148" t="s">
        <v>279</v>
      </c>
      <c r="I580" s="316">
        <v>250000</v>
      </c>
      <c r="J580" s="170">
        <f t="shared" si="106"/>
        <v>0</v>
      </c>
      <c r="K580" s="168">
        <f t="shared" si="107"/>
        <v>250000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32">
        <f t="shared" si="101"/>
        <v>0</v>
      </c>
      <c r="AE580" s="132">
        <f t="shared" si="102"/>
        <v>250000</v>
      </c>
      <c r="AF580" s="150">
        <f t="shared" si="103"/>
        <v>0</v>
      </c>
    </row>
    <row r="581" spans="1:32" x14ac:dyDescent="0.25">
      <c r="A581" s="315" t="s">
        <v>1002</v>
      </c>
      <c r="B581" s="315" t="s">
        <v>986</v>
      </c>
      <c r="C581" s="314" t="str">
        <f t="shared" si="104"/>
        <v>A</v>
      </c>
      <c r="D581" s="146" t="str">
        <f t="shared" si="105"/>
        <v>1</v>
      </c>
      <c r="E581" s="147" t="s">
        <v>242</v>
      </c>
      <c r="F581" s="147"/>
      <c r="G581" s="147"/>
      <c r="H581" s="148" t="s">
        <v>279</v>
      </c>
      <c r="I581" s="316">
        <v>20000</v>
      </c>
      <c r="J581" s="170">
        <f t="shared" si="106"/>
        <v>0</v>
      </c>
      <c r="K581" s="168">
        <f t="shared" si="107"/>
        <v>20000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32">
        <f t="shared" si="101"/>
        <v>0</v>
      </c>
      <c r="AE581" s="132">
        <f t="shared" si="102"/>
        <v>20000</v>
      </c>
      <c r="AF581" s="150">
        <f t="shared" si="103"/>
        <v>0</v>
      </c>
    </row>
    <row r="582" spans="1:32" x14ac:dyDescent="0.25">
      <c r="A582" s="315" t="s">
        <v>610</v>
      </c>
      <c r="B582" s="315" t="s">
        <v>1749</v>
      </c>
      <c r="C582" s="314" t="str">
        <f t="shared" si="104"/>
        <v>A</v>
      </c>
      <c r="D582" s="146" t="str">
        <f t="shared" si="105"/>
        <v>2</v>
      </c>
      <c r="E582" s="147" t="s">
        <v>242</v>
      </c>
      <c r="F582" s="147"/>
      <c r="G582" s="147"/>
      <c r="H582" s="148" t="s">
        <v>279</v>
      </c>
      <c r="I582" s="316">
        <v>68000</v>
      </c>
      <c r="J582" s="170">
        <f t="shared" si="106"/>
        <v>0</v>
      </c>
      <c r="K582" s="168">
        <f t="shared" si="107"/>
        <v>68000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32">
        <f t="shared" si="101"/>
        <v>0</v>
      </c>
      <c r="AE582" s="132">
        <f t="shared" si="102"/>
        <v>68000</v>
      </c>
      <c r="AF582" s="150">
        <f t="shared" si="103"/>
        <v>0</v>
      </c>
    </row>
    <row r="583" spans="1:32" x14ac:dyDescent="0.25">
      <c r="A583" s="315" t="s">
        <v>557</v>
      </c>
      <c r="B583" s="315" t="s">
        <v>1566</v>
      </c>
      <c r="C583" s="314" t="str">
        <f t="shared" si="104"/>
        <v>A</v>
      </c>
      <c r="D583" s="146" t="str">
        <f t="shared" si="105"/>
        <v>2</v>
      </c>
      <c r="E583" s="147" t="s">
        <v>242</v>
      </c>
      <c r="F583" s="147"/>
      <c r="G583" s="147"/>
      <c r="H583" s="148" t="s">
        <v>279</v>
      </c>
      <c r="I583" s="316">
        <v>730000</v>
      </c>
      <c r="J583" s="170">
        <f t="shared" si="106"/>
        <v>0</v>
      </c>
      <c r="K583" s="168">
        <f t="shared" si="107"/>
        <v>730000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32">
        <f t="shared" ref="AD583:AD646" si="123">SUM(L583:AC583)</f>
        <v>0</v>
      </c>
      <c r="AE583" s="132">
        <f t="shared" ref="AE583:AE646" si="124">SUM(J583,K583,AD583)</f>
        <v>730000</v>
      </c>
      <c r="AF583" s="150">
        <f t="shared" ref="AF583:AF646" si="125">+I583-AE583</f>
        <v>0</v>
      </c>
    </row>
    <row r="584" spans="1:32" x14ac:dyDescent="0.25">
      <c r="A584" s="315" t="s">
        <v>1194</v>
      </c>
      <c r="B584" s="315" t="s">
        <v>607</v>
      </c>
      <c r="C584" s="314" t="str">
        <f t="shared" ref="C584:C647" si="126">CONCATENATE(MID(A584,1,1))</f>
        <v>A</v>
      </c>
      <c r="D584" s="146" t="str">
        <f t="shared" ref="D584:D647" si="127">CONCATENATE(MID(A584,8,1))</f>
        <v>4</v>
      </c>
      <c r="E584" s="147" t="s">
        <v>242</v>
      </c>
      <c r="F584" s="147"/>
      <c r="G584" s="147"/>
      <c r="H584" s="148" t="s">
        <v>279</v>
      </c>
      <c r="I584" s="316">
        <v>8000</v>
      </c>
      <c r="J584" s="170">
        <f t="shared" ref="J584:J647" si="128">IF(D584="8",I584,0)</f>
        <v>0</v>
      </c>
      <c r="K584" s="168">
        <f t="shared" ref="K584:K647" si="129">IF(E584&lt;&gt;"S",IF(D584&lt;&gt;"8",I584,"")," ")</f>
        <v>8000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32">
        <f t="shared" si="123"/>
        <v>0</v>
      </c>
      <c r="AE584" s="132">
        <f t="shared" si="124"/>
        <v>8000</v>
      </c>
      <c r="AF584" s="150">
        <f t="shared" si="125"/>
        <v>0</v>
      </c>
    </row>
    <row r="585" spans="1:32" x14ac:dyDescent="0.25">
      <c r="A585" s="315" t="s">
        <v>1446</v>
      </c>
      <c r="B585" s="315" t="s">
        <v>469</v>
      </c>
      <c r="C585" s="314" t="str">
        <f t="shared" si="126"/>
        <v>A</v>
      </c>
      <c r="D585" s="146" t="str">
        <f t="shared" si="127"/>
        <v>4</v>
      </c>
      <c r="E585" s="147" t="s">
        <v>242</v>
      </c>
      <c r="F585" s="147"/>
      <c r="G585" s="147"/>
      <c r="H585" s="148" t="s">
        <v>279</v>
      </c>
      <c r="I585" s="316">
        <v>15000</v>
      </c>
      <c r="J585" s="170">
        <f t="shared" si="128"/>
        <v>0</v>
      </c>
      <c r="K585" s="168">
        <f t="shared" si="129"/>
        <v>15000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32">
        <f t="shared" si="123"/>
        <v>0</v>
      </c>
      <c r="AE585" s="132">
        <f t="shared" si="124"/>
        <v>15000</v>
      </c>
      <c r="AF585" s="150">
        <f t="shared" si="125"/>
        <v>0</v>
      </c>
    </row>
    <row r="586" spans="1:32" x14ac:dyDescent="0.25">
      <c r="A586" s="315" t="s">
        <v>733</v>
      </c>
      <c r="B586" s="315" t="s">
        <v>848</v>
      </c>
      <c r="C586" s="314" t="str">
        <f t="shared" si="126"/>
        <v>A</v>
      </c>
      <c r="D586" s="146" t="str">
        <f t="shared" si="127"/>
        <v>4</v>
      </c>
      <c r="E586" s="147" t="s">
        <v>242</v>
      </c>
      <c r="F586" s="147"/>
      <c r="G586" s="147"/>
      <c r="H586" s="148" t="s">
        <v>279</v>
      </c>
      <c r="I586" s="316">
        <v>2000</v>
      </c>
      <c r="J586" s="170">
        <f t="shared" si="128"/>
        <v>0</v>
      </c>
      <c r="K586" s="168">
        <f t="shared" si="129"/>
        <v>2000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32">
        <f t="shared" si="123"/>
        <v>0</v>
      </c>
      <c r="AE586" s="132">
        <f t="shared" si="124"/>
        <v>2000</v>
      </c>
      <c r="AF586" s="150">
        <f t="shared" si="125"/>
        <v>0</v>
      </c>
    </row>
    <row r="587" spans="1:32" x14ac:dyDescent="0.25">
      <c r="A587" s="321" t="s">
        <v>1823</v>
      </c>
      <c r="B587" s="315" t="s">
        <v>756</v>
      </c>
      <c r="C587" s="314" t="str">
        <f t="shared" si="126"/>
        <v>A</v>
      </c>
      <c r="D587" s="146" t="str">
        <f t="shared" si="127"/>
        <v>8</v>
      </c>
      <c r="E587" s="147" t="s">
        <v>441</v>
      </c>
      <c r="F587" s="147"/>
      <c r="G587" s="147"/>
      <c r="H587" s="148" t="s">
        <v>279</v>
      </c>
      <c r="I587" s="316">
        <v>87121</v>
      </c>
      <c r="J587" s="170">
        <f t="shared" si="128"/>
        <v>87121</v>
      </c>
      <c r="K587" s="168" t="str">
        <f t="shared" si="129"/>
        <v/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32">
        <f t="shared" si="123"/>
        <v>0</v>
      </c>
      <c r="AE587" s="132">
        <f t="shared" si="124"/>
        <v>87121</v>
      </c>
      <c r="AF587" s="150">
        <f t="shared" si="125"/>
        <v>0</v>
      </c>
    </row>
    <row r="588" spans="1:32" x14ac:dyDescent="0.25">
      <c r="A588" s="315" t="s">
        <v>1331</v>
      </c>
      <c r="B588" s="315" t="s">
        <v>1582</v>
      </c>
      <c r="C588" s="314" t="str">
        <f t="shared" si="126"/>
        <v>A</v>
      </c>
      <c r="D588" s="146" t="str">
        <f t="shared" si="127"/>
        <v>4</v>
      </c>
      <c r="E588" s="147" t="s">
        <v>242</v>
      </c>
      <c r="F588" s="147"/>
      <c r="G588" s="147"/>
      <c r="H588" s="148" t="s">
        <v>279</v>
      </c>
      <c r="I588" s="316">
        <v>75282</v>
      </c>
      <c r="J588" s="170">
        <f t="shared" si="128"/>
        <v>0</v>
      </c>
      <c r="K588" s="168">
        <f t="shared" si="129"/>
        <v>75282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32">
        <f t="shared" si="123"/>
        <v>0</v>
      </c>
      <c r="AE588" s="132">
        <f t="shared" si="124"/>
        <v>75282</v>
      </c>
      <c r="AF588" s="150">
        <f t="shared" si="125"/>
        <v>0</v>
      </c>
    </row>
    <row r="589" spans="1:32" x14ac:dyDescent="0.25">
      <c r="A589" s="315" t="s">
        <v>1701</v>
      </c>
      <c r="B589" s="315" t="s">
        <v>660</v>
      </c>
      <c r="C589" s="314" t="str">
        <f t="shared" si="126"/>
        <v>A</v>
      </c>
      <c r="D589" s="146" t="str">
        <f t="shared" si="127"/>
        <v>4</v>
      </c>
      <c r="E589" s="147" t="s">
        <v>242</v>
      </c>
      <c r="F589" s="147"/>
      <c r="G589" s="147"/>
      <c r="H589" s="148" t="s">
        <v>279</v>
      </c>
      <c r="I589" s="316">
        <v>16000</v>
      </c>
      <c r="J589" s="170">
        <f t="shared" si="128"/>
        <v>0</v>
      </c>
      <c r="K589" s="168">
        <f t="shared" si="129"/>
        <v>16000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32">
        <f t="shared" si="123"/>
        <v>0</v>
      </c>
      <c r="AE589" s="132">
        <f t="shared" si="124"/>
        <v>16000</v>
      </c>
      <c r="AF589" s="150">
        <f t="shared" si="125"/>
        <v>0</v>
      </c>
    </row>
    <row r="590" spans="1:32" x14ac:dyDescent="0.25">
      <c r="A590" s="315" t="s">
        <v>991</v>
      </c>
      <c r="B590" s="315" t="s">
        <v>1612</v>
      </c>
      <c r="C590" s="314" t="str">
        <f t="shared" si="126"/>
        <v>A</v>
      </c>
      <c r="D590" s="146" t="str">
        <f t="shared" si="127"/>
        <v>4</v>
      </c>
      <c r="E590" s="147" t="s">
        <v>242</v>
      </c>
      <c r="F590" s="147"/>
      <c r="G590" s="147"/>
      <c r="H590" s="148" t="s">
        <v>279</v>
      </c>
      <c r="I590" s="316">
        <v>5000</v>
      </c>
      <c r="J590" s="170">
        <f t="shared" si="128"/>
        <v>0</v>
      </c>
      <c r="K590" s="168">
        <f t="shared" si="129"/>
        <v>5000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32">
        <f t="shared" si="123"/>
        <v>0</v>
      </c>
      <c r="AE590" s="132">
        <f t="shared" si="124"/>
        <v>5000</v>
      </c>
      <c r="AF590" s="150">
        <f t="shared" si="125"/>
        <v>0</v>
      </c>
    </row>
    <row r="591" spans="1:32" x14ac:dyDescent="0.25">
      <c r="A591" s="315" t="s">
        <v>1524</v>
      </c>
      <c r="B591" s="315" t="s">
        <v>1379</v>
      </c>
      <c r="C591" s="314" t="str">
        <f t="shared" si="126"/>
        <v>A</v>
      </c>
      <c r="D591" s="146" t="str">
        <f t="shared" si="127"/>
        <v>4</v>
      </c>
      <c r="E591" s="147" t="s">
        <v>242</v>
      </c>
      <c r="F591" s="147"/>
      <c r="G591" s="147"/>
      <c r="H591" s="148" t="s">
        <v>279</v>
      </c>
      <c r="I591" s="316">
        <v>1500</v>
      </c>
      <c r="J591" s="170">
        <f t="shared" si="128"/>
        <v>0</v>
      </c>
      <c r="K591" s="168">
        <f t="shared" si="129"/>
        <v>1500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32">
        <f t="shared" si="123"/>
        <v>0</v>
      </c>
      <c r="AE591" s="132">
        <f t="shared" si="124"/>
        <v>1500</v>
      </c>
      <c r="AF591" s="150">
        <f t="shared" si="125"/>
        <v>0</v>
      </c>
    </row>
    <row r="592" spans="1:32" x14ac:dyDescent="0.25">
      <c r="A592" s="315" t="s">
        <v>1099</v>
      </c>
      <c r="B592" s="315" t="s">
        <v>1548</v>
      </c>
      <c r="C592" s="314" t="str">
        <f t="shared" si="126"/>
        <v>A</v>
      </c>
      <c r="D592" s="146" t="str">
        <f t="shared" si="127"/>
        <v>4</v>
      </c>
      <c r="E592" s="147" t="s">
        <v>242</v>
      </c>
      <c r="F592" s="147"/>
      <c r="G592" s="147"/>
      <c r="H592" s="148" t="s">
        <v>279</v>
      </c>
      <c r="I592" s="316">
        <v>11500</v>
      </c>
      <c r="J592" s="170">
        <f t="shared" si="128"/>
        <v>0</v>
      </c>
      <c r="K592" s="168">
        <f t="shared" si="129"/>
        <v>11500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32">
        <f t="shared" si="123"/>
        <v>0</v>
      </c>
      <c r="AE592" s="132">
        <f t="shared" si="124"/>
        <v>11500</v>
      </c>
      <c r="AF592" s="150">
        <f t="shared" si="125"/>
        <v>0</v>
      </c>
    </row>
    <row r="593" spans="1:32" x14ac:dyDescent="0.25">
      <c r="A593" s="315" t="s">
        <v>704</v>
      </c>
      <c r="B593" s="315" t="s">
        <v>1259</v>
      </c>
      <c r="C593" s="314" t="str">
        <f t="shared" si="126"/>
        <v>A</v>
      </c>
      <c r="D593" s="146" t="str">
        <f t="shared" si="127"/>
        <v>4</v>
      </c>
      <c r="E593" s="147" t="s">
        <v>242</v>
      </c>
      <c r="F593" s="147"/>
      <c r="G593" s="147"/>
      <c r="H593" s="148" t="s">
        <v>279</v>
      </c>
      <c r="I593" s="316">
        <v>54000</v>
      </c>
      <c r="J593" s="170">
        <f t="shared" si="128"/>
        <v>0</v>
      </c>
      <c r="K593" s="168">
        <f t="shared" si="129"/>
        <v>54000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32">
        <f t="shared" si="123"/>
        <v>0</v>
      </c>
      <c r="AE593" s="132">
        <f t="shared" si="124"/>
        <v>54000</v>
      </c>
      <c r="AF593" s="150">
        <f t="shared" si="125"/>
        <v>0</v>
      </c>
    </row>
    <row r="594" spans="1:32" x14ac:dyDescent="0.25">
      <c r="A594" s="315" t="s">
        <v>1683</v>
      </c>
      <c r="B594" s="315" t="s">
        <v>654</v>
      </c>
      <c r="C594" s="314" t="str">
        <f t="shared" si="126"/>
        <v>A</v>
      </c>
      <c r="D594" s="146" t="str">
        <f t="shared" si="127"/>
        <v>4</v>
      </c>
      <c r="E594" s="147" t="s">
        <v>242</v>
      </c>
      <c r="F594" s="147"/>
      <c r="G594" s="147"/>
      <c r="H594" s="148" t="s">
        <v>279</v>
      </c>
      <c r="I594" s="316">
        <v>7000</v>
      </c>
      <c r="J594" s="170">
        <f t="shared" si="128"/>
        <v>0</v>
      </c>
      <c r="K594" s="168">
        <f t="shared" si="129"/>
        <v>7000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32">
        <f t="shared" si="123"/>
        <v>0</v>
      </c>
      <c r="AE594" s="132">
        <f t="shared" si="124"/>
        <v>7000</v>
      </c>
      <c r="AF594" s="150">
        <f t="shared" si="125"/>
        <v>0</v>
      </c>
    </row>
    <row r="595" spans="1:32" x14ac:dyDescent="0.25">
      <c r="A595" s="315" t="s">
        <v>1239</v>
      </c>
      <c r="B595" s="315" t="s">
        <v>1623</v>
      </c>
      <c r="C595" s="314" t="str">
        <f t="shared" si="126"/>
        <v>A</v>
      </c>
      <c r="D595" s="146" t="str">
        <f t="shared" si="127"/>
        <v>4</v>
      </c>
      <c r="E595" s="147" t="s">
        <v>242</v>
      </c>
      <c r="F595" s="147"/>
      <c r="G595" s="147"/>
      <c r="H595" s="148" t="s">
        <v>279</v>
      </c>
      <c r="I595" s="316">
        <v>273890</v>
      </c>
      <c r="J595" s="170">
        <f t="shared" si="128"/>
        <v>0</v>
      </c>
      <c r="K595" s="168">
        <f t="shared" si="129"/>
        <v>273890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32">
        <f t="shared" si="123"/>
        <v>0</v>
      </c>
      <c r="AE595" s="132">
        <f t="shared" si="124"/>
        <v>273890</v>
      </c>
      <c r="AF595" s="150">
        <f t="shared" si="125"/>
        <v>0</v>
      </c>
    </row>
    <row r="596" spans="1:32" x14ac:dyDescent="0.25">
      <c r="A596" s="315" t="s">
        <v>715</v>
      </c>
      <c r="B596" s="315" t="s">
        <v>1415</v>
      </c>
      <c r="C596" s="314" t="str">
        <f t="shared" si="126"/>
        <v>A</v>
      </c>
      <c r="D596" s="146" t="str">
        <f t="shared" si="127"/>
        <v>4</v>
      </c>
      <c r="E596" s="147" t="s">
        <v>242</v>
      </c>
      <c r="F596" s="147"/>
      <c r="G596" s="147"/>
      <c r="H596" s="148" t="s">
        <v>279</v>
      </c>
      <c r="I596" s="316">
        <v>15150</v>
      </c>
      <c r="J596" s="170">
        <f t="shared" si="128"/>
        <v>0</v>
      </c>
      <c r="K596" s="168">
        <f t="shared" si="129"/>
        <v>15150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32">
        <f t="shared" si="123"/>
        <v>0</v>
      </c>
      <c r="AE596" s="132">
        <f t="shared" si="124"/>
        <v>15150</v>
      </c>
      <c r="AF596" s="150">
        <f t="shared" si="125"/>
        <v>0</v>
      </c>
    </row>
    <row r="597" spans="1:32" x14ac:dyDescent="0.25">
      <c r="A597" s="315" t="s">
        <v>1082</v>
      </c>
      <c r="B597" s="315" t="s">
        <v>1647</v>
      </c>
      <c r="C597" s="314" t="str">
        <f t="shared" si="126"/>
        <v>A</v>
      </c>
      <c r="D597" s="146" t="str">
        <f t="shared" si="127"/>
        <v>4</v>
      </c>
      <c r="E597" s="147" t="s">
        <v>242</v>
      </c>
      <c r="F597" s="147"/>
      <c r="G597" s="147"/>
      <c r="H597" s="148" t="s">
        <v>279</v>
      </c>
      <c r="I597" s="316">
        <v>30300</v>
      </c>
      <c r="J597" s="170">
        <f t="shared" si="128"/>
        <v>0</v>
      </c>
      <c r="K597" s="168">
        <f t="shared" si="129"/>
        <v>30300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32">
        <f t="shared" si="123"/>
        <v>0</v>
      </c>
      <c r="AE597" s="132">
        <f t="shared" si="124"/>
        <v>30300</v>
      </c>
      <c r="AF597" s="150">
        <f t="shared" si="125"/>
        <v>0</v>
      </c>
    </row>
    <row r="598" spans="1:32" x14ac:dyDescent="0.25">
      <c r="A598" s="315" t="s">
        <v>1568</v>
      </c>
      <c r="B598" s="315" t="s">
        <v>720</v>
      </c>
      <c r="C598" s="314" t="str">
        <f t="shared" si="126"/>
        <v>A</v>
      </c>
      <c r="D598" s="146" t="str">
        <f t="shared" si="127"/>
        <v>4</v>
      </c>
      <c r="E598" s="147" t="s">
        <v>242</v>
      </c>
      <c r="F598" s="147"/>
      <c r="G598" s="147"/>
      <c r="H598" s="148" t="s">
        <v>279</v>
      </c>
      <c r="I598" s="316">
        <v>174000</v>
      </c>
      <c r="J598" s="170">
        <f t="shared" si="128"/>
        <v>0</v>
      </c>
      <c r="K598" s="168">
        <f t="shared" si="129"/>
        <v>174000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32">
        <f t="shared" si="123"/>
        <v>0</v>
      </c>
      <c r="AE598" s="132">
        <f t="shared" si="124"/>
        <v>174000</v>
      </c>
      <c r="AF598" s="150">
        <f t="shared" si="125"/>
        <v>0</v>
      </c>
    </row>
    <row r="599" spans="1:32" x14ac:dyDescent="0.25">
      <c r="A599" s="315" t="s">
        <v>1585</v>
      </c>
      <c r="B599" s="315" t="s">
        <v>1036</v>
      </c>
      <c r="C599" s="314" t="str">
        <f t="shared" si="126"/>
        <v>A</v>
      </c>
      <c r="D599" s="146" t="str">
        <f t="shared" si="127"/>
        <v>4</v>
      </c>
      <c r="E599" s="147" t="s">
        <v>242</v>
      </c>
      <c r="F599" s="147"/>
      <c r="G599" s="147"/>
      <c r="H599" s="148" t="s">
        <v>279</v>
      </c>
      <c r="I599" s="316">
        <v>3000</v>
      </c>
      <c r="J599" s="170">
        <f t="shared" si="128"/>
        <v>0</v>
      </c>
      <c r="K599" s="168">
        <f t="shared" si="129"/>
        <v>3000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32">
        <f t="shared" si="123"/>
        <v>0</v>
      </c>
      <c r="AE599" s="132">
        <f t="shared" si="124"/>
        <v>3000</v>
      </c>
      <c r="AF599" s="150">
        <f t="shared" si="125"/>
        <v>0</v>
      </c>
    </row>
    <row r="600" spans="1:32" x14ac:dyDescent="0.25">
      <c r="A600" s="315" t="s">
        <v>1509</v>
      </c>
      <c r="B600" s="315" t="s">
        <v>1638</v>
      </c>
      <c r="C600" s="314" t="str">
        <f t="shared" si="126"/>
        <v>A</v>
      </c>
      <c r="D600" s="146" t="str">
        <f t="shared" si="127"/>
        <v>4</v>
      </c>
      <c r="E600" s="147" t="s">
        <v>242</v>
      </c>
      <c r="F600" s="147"/>
      <c r="G600" s="147"/>
      <c r="H600" s="148" t="s">
        <v>279</v>
      </c>
      <c r="I600" s="316">
        <v>10000</v>
      </c>
      <c r="J600" s="170">
        <f t="shared" si="128"/>
        <v>0</v>
      </c>
      <c r="K600" s="168">
        <f t="shared" si="129"/>
        <v>10000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32">
        <f t="shared" si="123"/>
        <v>0</v>
      </c>
      <c r="AE600" s="132">
        <f t="shared" si="124"/>
        <v>10000</v>
      </c>
      <c r="AF600" s="150">
        <f t="shared" si="125"/>
        <v>0</v>
      </c>
    </row>
    <row r="601" spans="1:32" x14ac:dyDescent="0.25">
      <c r="A601" s="315" t="s">
        <v>846</v>
      </c>
      <c r="B601" s="315" t="s">
        <v>1552</v>
      </c>
      <c r="C601" s="314" t="str">
        <f t="shared" si="126"/>
        <v>A</v>
      </c>
      <c r="D601" s="146" t="str">
        <f t="shared" si="127"/>
        <v>4</v>
      </c>
      <c r="E601" s="147" t="s">
        <v>242</v>
      </c>
      <c r="F601" s="147"/>
      <c r="G601" s="147"/>
      <c r="H601" s="148" t="s">
        <v>279</v>
      </c>
      <c r="I601" s="316">
        <v>3588</v>
      </c>
      <c r="J601" s="170">
        <f t="shared" si="128"/>
        <v>0</v>
      </c>
      <c r="K601" s="168">
        <f t="shared" si="129"/>
        <v>3588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32">
        <f t="shared" si="123"/>
        <v>0</v>
      </c>
      <c r="AE601" s="132">
        <f t="shared" si="124"/>
        <v>3588</v>
      </c>
      <c r="AF601" s="150">
        <f t="shared" si="125"/>
        <v>0</v>
      </c>
    </row>
    <row r="602" spans="1:32" x14ac:dyDescent="0.25">
      <c r="A602" s="315" t="s">
        <v>539</v>
      </c>
      <c r="B602" s="315" t="s">
        <v>1679</v>
      </c>
      <c r="C602" s="314" t="str">
        <f t="shared" si="126"/>
        <v>A</v>
      </c>
      <c r="D602" s="146" t="str">
        <f t="shared" si="127"/>
        <v>8</v>
      </c>
      <c r="E602" s="147" t="s">
        <v>441</v>
      </c>
      <c r="F602" s="147"/>
      <c r="G602" s="147"/>
      <c r="H602" s="148" t="s">
        <v>279</v>
      </c>
      <c r="I602" s="316">
        <v>352826</v>
      </c>
      <c r="J602" s="170">
        <f t="shared" si="128"/>
        <v>352826</v>
      </c>
      <c r="K602" s="168" t="str">
        <f t="shared" si="129"/>
        <v/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32">
        <f t="shared" si="123"/>
        <v>0</v>
      </c>
      <c r="AE602" s="132">
        <f t="shared" si="124"/>
        <v>352826</v>
      </c>
      <c r="AF602" s="150">
        <f t="shared" si="125"/>
        <v>0</v>
      </c>
    </row>
    <row r="603" spans="1:32" x14ac:dyDescent="0.25">
      <c r="A603" s="315" t="s">
        <v>1075</v>
      </c>
      <c r="B603" s="315" t="s">
        <v>1391</v>
      </c>
      <c r="C603" s="314" t="str">
        <f t="shared" si="126"/>
        <v>A</v>
      </c>
      <c r="D603" s="146" t="str">
        <f t="shared" si="127"/>
        <v>8</v>
      </c>
      <c r="E603" s="147" t="s">
        <v>441</v>
      </c>
      <c r="F603" s="147"/>
      <c r="G603" s="147"/>
      <c r="H603" s="148" t="s">
        <v>279</v>
      </c>
      <c r="I603" s="316">
        <v>184871</v>
      </c>
      <c r="J603" s="170">
        <f t="shared" si="128"/>
        <v>184871</v>
      </c>
      <c r="K603" s="168" t="str">
        <f t="shared" si="129"/>
        <v/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32">
        <f t="shared" si="123"/>
        <v>0</v>
      </c>
      <c r="AE603" s="132">
        <f t="shared" si="124"/>
        <v>184871</v>
      </c>
      <c r="AF603" s="150">
        <f t="shared" si="125"/>
        <v>0</v>
      </c>
    </row>
    <row r="604" spans="1:32" x14ac:dyDescent="0.25">
      <c r="A604" s="315" t="s">
        <v>925</v>
      </c>
      <c r="B604" s="315" t="s">
        <v>1011</v>
      </c>
      <c r="C604" s="314" t="str">
        <f t="shared" si="126"/>
        <v>A</v>
      </c>
      <c r="D604" s="146" t="str">
        <f t="shared" si="127"/>
        <v>8</v>
      </c>
      <c r="E604" s="147" t="s">
        <v>441</v>
      </c>
      <c r="F604" s="147"/>
      <c r="G604" s="147"/>
      <c r="H604" s="148" t="s">
        <v>279</v>
      </c>
      <c r="I604" s="316">
        <v>547129</v>
      </c>
      <c r="J604" s="170">
        <f t="shared" si="128"/>
        <v>547129</v>
      </c>
      <c r="K604" s="168" t="str">
        <f t="shared" si="129"/>
        <v/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32">
        <f t="shared" si="123"/>
        <v>0</v>
      </c>
      <c r="AE604" s="132">
        <f t="shared" si="124"/>
        <v>547129</v>
      </c>
      <c r="AF604" s="150">
        <f t="shared" si="125"/>
        <v>0</v>
      </c>
    </row>
    <row r="605" spans="1:32" x14ac:dyDescent="0.25">
      <c r="A605" s="315" t="s">
        <v>664</v>
      </c>
      <c r="B605" s="315" t="s">
        <v>943</v>
      </c>
      <c r="C605" s="314" t="str">
        <f t="shared" si="126"/>
        <v>A</v>
      </c>
      <c r="D605" s="146" t="str">
        <f t="shared" si="127"/>
        <v>1</v>
      </c>
      <c r="E605" s="147" t="s">
        <v>242</v>
      </c>
      <c r="F605" s="147"/>
      <c r="G605" s="147"/>
      <c r="H605" s="148" t="s">
        <v>279</v>
      </c>
      <c r="I605" s="316">
        <v>295786</v>
      </c>
      <c r="J605" s="170">
        <f t="shared" si="128"/>
        <v>0</v>
      </c>
      <c r="K605" s="168">
        <f t="shared" si="129"/>
        <v>295786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32">
        <f t="shared" si="123"/>
        <v>0</v>
      </c>
      <c r="AE605" s="132">
        <f t="shared" si="124"/>
        <v>295786</v>
      </c>
      <c r="AF605" s="150">
        <f t="shared" si="125"/>
        <v>0</v>
      </c>
    </row>
    <row r="606" spans="1:32" x14ac:dyDescent="0.25">
      <c r="A606" s="315" t="s">
        <v>849</v>
      </c>
      <c r="B606" s="315" t="s">
        <v>1049</v>
      </c>
      <c r="C606" s="314" t="str">
        <f t="shared" si="126"/>
        <v>A</v>
      </c>
      <c r="D606" s="146" t="str">
        <f t="shared" si="127"/>
        <v>1</v>
      </c>
      <c r="E606" s="147" t="s">
        <v>242</v>
      </c>
      <c r="F606" s="147"/>
      <c r="G606" s="147"/>
      <c r="H606" s="148" t="s">
        <v>279</v>
      </c>
      <c r="I606" s="316">
        <v>29804</v>
      </c>
      <c r="J606" s="170">
        <f t="shared" si="128"/>
        <v>0</v>
      </c>
      <c r="K606" s="168">
        <f t="shared" si="129"/>
        <v>29804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32">
        <f t="shared" si="123"/>
        <v>0</v>
      </c>
      <c r="AE606" s="132">
        <f t="shared" si="124"/>
        <v>29804</v>
      </c>
      <c r="AF606" s="150">
        <f t="shared" si="125"/>
        <v>0</v>
      </c>
    </row>
    <row r="607" spans="1:32" x14ac:dyDescent="0.25">
      <c r="A607" s="315" t="s">
        <v>1395</v>
      </c>
      <c r="B607" s="315" t="s">
        <v>824</v>
      </c>
      <c r="C607" s="314" t="str">
        <f t="shared" si="126"/>
        <v>A</v>
      </c>
      <c r="D607" s="146" t="str">
        <f t="shared" si="127"/>
        <v>4</v>
      </c>
      <c r="E607" s="147" t="s">
        <v>242</v>
      </c>
      <c r="F607" s="147"/>
      <c r="G607" s="147"/>
      <c r="H607" s="148" t="s">
        <v>279</v>
      </c>
      <c r="I607" s="316">
        <v>10000</v>
      </c>
      <c r="J607" s="170">
        <f t="shared" si="128"/>
        <v>0</v>
      </c>
      <c r="K607" s="168">
        <f t="shared" si="129"/>
        <v>10000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32">
        <f t="shared" si="123"/>
        <v>0</v>
      </c>
      <c r="AE607" s="132">
        <f t="shared" si="124"/>
        <v>10000</v>
      </c>
      <c r="AF607" s="150">
        <f t="shared" si="125"/>
        <v>0</v>
      </c>
    </row>
    <row r="608" spans="1:32" x14ac:dyDescent="0.25">
      <c r="A608" s="315" t="s">
        <v>1462</v>
      </c>
      <c r="B608" s="315" t="s">
        <v>884</v>
      </c>
      <c r="C608" s="314" t="str">
        <f t="shared" si="126"/>
        <v>A</v>
      </c>
      <c r="D608" s="146" t="str">
        <f t="shared" si="127"/>
        <v>4</v>
      </c>
      <c r="E608" s="147" t="s">
        <v>242</v>
      </c>
      <c r="F608" s="147"/>
      <c r="G608" s="147"/>
      <c r="H608" s="148" t="s">
        <v>279</v>
      </c>
      <c r="I608" s="316">
        <v>35000</v>
      </c>
      <c r="J608" s="170">
        <f t="shared" si="128"/>
        <v>0</v>
      </c>
      <c r="K608" s="168">
        <f t="shared" si="129"/>
        <v>35000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32">
        <f t="shared" si="123"/>
        <v>0</v>
      </c>
      <c r="AE608" s="132">
        <f t="shared" si="124"/>
        <v>35000</v>
      </c>
      <c r="AF608" s="150">
        <f t="shared" si="125"/>
        <v>0</v>
      </c>
    </row>
    <row r="609" spans="1:32" x14ac:dyDescent="0.25">
      <c r="A609" s="315" t="s">
        <v>1525</v>
      </c>
      <c r="B609" s="315" t="s">
        <v>1469</v>
      </c>
      <c r="C609" s="314" t="str">
        <f t="shared" si="126"/>
        <v>A</v>
      </c>
      <c r="D609" s="146" t="str">
        <f t="shared" si="127"/>
        <v>4</v>
      </c>
      <c r="E609" s="147" t="s">
        <v>242</v>
      </c>
      <c r="F609" s="147"/>
      <c r="G609" s="147"/>
      <c r="H609" s="148" t="s">
        <v>279</v>
      </c>
      <c r="I609" s="316">
        <v>6500</v>
      </c>
      <c r="J609" s="170">
        <f t="shared" si="128"/>
        <v>0</v>
      </c>
      <c r="K609" s="168">
        <f t="shared" si="129"/>
        <v>6500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32">
        <f t="shared" si="123"/>
        <v>0</v>
      </c>
      <c r="AE609" s="132">
        <f t="shared" si="124"/>
        <v>6500</v>
      </c>
      <c r="AF609" s="150">
        <f t="shared" si="125"/>
        <v>0</v>
      </c>
    </row>
    <row r="610" spans="1:32" x14ac:dyDescent="0.25">
      <c r="A610" s="315" t="s">
        <v>534</v>
      </c>
      <c r="B610" s="315" t="s">
        <v>1366</v>
      </c>
      <c r="C610" s="314" t="str">
        <f t="shared" si="126"/>
        <v>A</v>
      </c>
      <c r="D610" s="146" t="str">
        <f t="shared" si="127"/>
        <v>4</v>
      </c>
      <c r="E610" s="147" t="s">
        <v>242</v>
      </c>
      <c r="F610" s="147"/>
      <c r="G610" s="147"/>
      <c r="H610" s="148" t="s">
        <v>279</v>
      </c>
      <c r="I610" s="316">
        <v>9600</v>
      </c>
      <c r="J610" s="170">
        <f t="shared" si="128"/>
        <v>0</v>
      </c>
      <c r="K610" s="168">
        <f t="shared" si="129"/>
        <v>9600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32">
        <f t="shared" si="123"/>
        <v>0</v>
      </c>
      <c r="AE610" s="132">
        <f t="shared" si="124"/>
        <v>9600</v>
      </c>
      <c r="AF610" s="150">
        <f t="shared" si="125"/>
        <v>0</v>
      </c>
    </row>
    <row r="611" spans="1:32" x14ac:dyDescent="0.25">
      <c r="A611" s="315" t="s">
        <v>1387</v>
      </c>
      <c r="B611" s="315" t="s">
        <v>696</v>
      </c>
      <c r="C611" s="314" t="str">
        <f t="shared" si="126"/>
        <v>A</v>
      </c>
      <c r="D611" s="146" t="str">
        <f t="shared" si="127"/>
        <v>4</v>
      </c>
      <c r="E611" s="147" t="s">
        <v>242</v>
      </c>
      <c r="F611" s="147"/>
      <c r="G611" s="147"/>
      <c r="H611" s="148" t="s">
        <v>279</v>
      </c>
      <c r="I611" s="316">
        <v>8000</v>
      </c>
      <c r="J611" s="170">
        <f t="shared" si="128"/>
        <v>0</v>
      </c>
      <c r="K611" s="168">
        <f t="shared" si="129"/>
        <v>8000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32">
        <f t="shared" si="123"/>
        <v>0</v>
      </c>
      <c r="AE611" s="132">
        <f t="shared" si="124"/>
        <v>8000</v>
      </c>
      <c r="AF611" s="150">
        <f t="shared" si="125"/>
        <v>0</v>
      </c>
    </row>
    <row r="612" spans="1:32" x14ac:dyDescent="0.25">
      <c r="A612" s="315" t="s">
        <v>980</v>
      </c>
      <c r="B612" s="315" t="s">
        <v>1419</v>
      </c>
      <c r="C612" s="314" t="str">
        <f t="shared" si="126"/>
        <v>A</v>
      </c>
      <c r="D612" s="146" t="str">
        <f t="shared" si="127"/>
        <v>4</v>
      </c>
      <c r="E612" s="147" t="s">
        <v>242</v>
      </c>
      <c r="F612" s="147"/>
      <c r="G612" s="147"/>
      <c r="H612" s="148" t="s">
        <v>279</v>
      </c>
      <c r="I612" s="316">
        <v>61000</v>
      </c>
      <c r="J612" s="170">
        <f t="shared" si="128"/>
        <v>0</v>
      </c>
      <c r="K612" s="168">
        <f t="shared" si="129"/>
        <v>61000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32">
        <f t="shared" si="123"/>
        <v>0</v>
      </c>
      <c r="AE612" s="132">
        <f t="shared" si="124"/>
        <v>61000</v>
      </c>
      <c r="AF612" s="150">
        <f t="shared" si="125"/>
        <v>0</v>
      </c>
    </row>
    <row r="613" spans="1:32" x14ac:dyDescent="0.25">
      <c r="A613" s="315" t="s">
        <v>553</v>
      </c>
      <c r="B613" s="315" t="s">
        <v>1724</v>
      </c>
      <c r="C613" s="314" t="str">
        <f t="shared" si="126"/>
        <v>A</v>
      </c>
      <c r="D613" s="146" t="str">
        <f t="shared" si="127"/>
        <v>1</v>
      </c>
      <c r="E613" s="147" t="s">
        <v>240</v>
      </c>
      <c r="F613" s="147"/>
      <c r="G613" s="147"/>
      <c r="H613" s="148" t="s">
        <v>279</v>
      </c>
      <c r="I613" s="316">
        <v>24321</v>
      </c>
      <c r="J613" s="170">
        <f t="shared" si="128"/>
        <v>0</v>
      </c>
      <c r="K613" s="168">
        <f t="shared" si="129"/>
        <v>24321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32">
        <f t="shared" si="123"/>
        <v>0</v>
      </c>
      <c r="AE613" s="132">
        <f t="shared" si="124"/>
        <v>24321</v>
      </c>
      <c r="AF613" s="150">
        <f t="shared" si="125"/>
        <v>0</v>
      </c>
    </row>
    <row r="614" spans="1:32" x14ac:dyDescent="0.25">
      <c r="A614" s="315" t="s">
        <v>1258</v>
      </c>
      <c r="B614" s="315" t="s">
        <v>1336</v>
      </c>
      <c r="C614" s="314" t="str">
        <f t="shared" si="126"/>
        <v>A</v>
      </c>
      <c r="D614" s="146" t="str">
        <f t="shared" si="127"/>
        <v>4</v>
      </c>
      <c r="E614" s="147" t="s">
        <v>240</v>
      </c>
      <c r="F614" s="147"/>
      <c r="G614" s="147"/>
      <c r="H614" s="148" t="s">
        <v>279</v>
      </c>
      <c r="I614" s="316">
        <v>1920</v>
      </c>
      <c r="J614" s="170">
        <f t="shared" si="128"/>
        <v>0</v>
      </c>
      <c r="K614" s="168">
        <f t="shared" si="129"/>
        <v>1920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32">
        <f t="shared" si="123"/>
        <v>0</v>
      </c>
      <c r="AE614" s="132">
        <f t="shared" si="124"/>
        <v>1920</v>
      </c>
      <c r="AF614" s="150">
        <f t="shared" si="125"/>
        <v>0</v>
      </c>
    </row>
    <row r="615" spans="1:32" x14ac:dyDescent="0.25">
      <c r="A615" s="315" t="s">
        <v>1641</v>
      </c>
      <c r="B615" s="315" t="s">
        <v>498</v>
      </c>
      <c r="C615" s="314" t="str">
        <f t="shared" si="126"/>
        <v>A</v>
      </c>
      <c r="D615" s="146" t="str">
        <f t="shared" si="127"/>
        <v>4</v>
      </c>
      <c r="E615" s="147" t="s">
        <v>240</v>
      </c>
      <c r="F615" s="147"/>
      <c r="G615" s="147"/>
      <c r="H615" s="148" t="s">
        <v>279</v>
      </c>
      <c r="I615" s="316">
        <v>160</v>
      </c>
      <c r="J615" s="170">
        <f t="shared" si="128"/>
        <v>0</v>
      </c>
      <c r="K615" s="168">
        <f t="shared" si="129"/>
        <v>160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32">
        <f t="shared" si="123"/>
        <v>0</v>
      </c>
      <c r="AE615" s="132">
        <f t="shared" si="124"/>
        <v>160</v>
      </c>
      <c r="AF615" s="150">
        <f t="shared" si="125"/>
        <v>0</v>
      </c>
    </row>
    <row r="616" spans="1:32" x14ac:dyDescent="0.25">
      <c r="A616" s="315" t="s">
        <v>657</v>
      </c>
      <c r="B616" s="315" t="s">
        <v>1523</v>
      </c>
      <c r="C616" s="314" t="str">
        <f t="shared" si="126"/>
        <v>A</v>
      </c>
      <c r="D616" s="146" t="str">
        <f t="shared" si="127"/>
        <v>1</v>
      </c>
      <c r="E616" s="147" t="s">
        <v>240</v>
      </c>
      <c r="F616" s="147"/>
      <c r="G616" s="147"/>
      <c r="H616" s="148" t="s">
        <v>279</v>
      </c>
      <c r="I616" s="316">
        <v>9397</v>
      </c>
      <c r="J616" s="170">
        <f t="shared" si="128"/>
        <v>0</v>
      </c>
      <c r="K616" s="168">
        <f t="shared" si="129"/>
        <v>9397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32">
        <f t="shared" si="123"/>
        <v>0</v>
      </c>
      <c r="AE616" s="132">
        <f t="shared" si="124"/>
        <v>9397</v>
      </c>
      <c r="AF616" s="150">
        <f t="shared" si="125"/>
        <v>0</v>
      </c>
    </row>
    <row r="617" spans="1:32" x14ac:dyDescent="0.25">
      <c r="A617" s="315" t="s">
        <v>1699</v>
      </c>
      <c r="B617" s="315" t="s">
        <v>1592</v>
      </c>
      <c r="C617" s="314" t="str">
        <f t="shared" si="126"/>
        <v>A</v>
      </c>
      <c r="D617" s="146" t="str">
        <f t="shared" si="127"/>
        <v>8</v>
      </c>
      <c r="E617" s="147" t="s">
        <v>441</v>
      </c>
      <c r="F617" s="147"/>
      <c r="G617" s="147"/>
      <c r="H617" s="148" t="s">
        <v>279</v>
      </c>
      <c r="I617" s="316">
        <v>720019</v>
      </c>
      <c r="J617" s="170">
        <f t="shared" si="128"/>
        <v>720019</v>
      </c>
      <c r="K617" s="168" t="str">
        <f t="shared" si="129"/>
        <v/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32">
        <f t="shared" si="123"/>
        <v>0</v>
      </c>
      <c r="AE617" s="132">
        <f t="shared" si="124"/>
        <v>720019</v>
      </c>
      <c r="AF617" s="150">
        <f t="shared" si="125"/>
        <v>0</v>
      </c>
    </row>
    <row r="618" spans="1:32" x14ac:dyDescent="0.25">
      <c r="A618" s="315" t="s">
        <v>1335</v>
      </c>
      <c r="B618" s="315" t="s">
        <v>1262</v>
      </c>
      <c r="C618" s="314" t="str">
        <f t="shared" si="126"/>
        <v>A</v>
      </c>
      <c r="D618" s="146" t="str">
        <f t="shared" si="127"/>
        <v>8</v>
      </c>
      <c r="E618" s="147" t="s">
        <v>441</v>
      </c>
      <c r="F618" s="147"/>
      <c r="G618" s="147"/>
      <c r="H618" s="148" t="s">
        <v>279</v>
      </c>
      <c r="I618" s="316">
        <v>2883053</v>
      </c>
      <c r="J618" s="170">
        <f t="shared" si="128"/>
        <v>2883053</v>
      </c>
      <c r="K618" s="168" t="str">
        <f t="shared" si="129"/>
        <v/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32">
        <f t="shared" si="123"/>
        <v>0</v>
      </c>
      <c r="AE618" s="132">
        <f t="shared" si="124"/>
        <v>2883053</v>
      </c>
      <c r="AF618" s="150">
        <f t="shared" si="125"/>
        <v>0</v>
      </c>
    </row>
    <row r="619" spans="1:32" x14ac:dyDescent="0.25">
      <c r="A619" s="315" t="s">
        <v>1554</v>
      </c>
      <c r="B619" s="315" t="s">
        <v>468</v>
      </c>
      <c r="C619" s="314" t="str">
        <f t="shared" si="126"/>
        <v>A</v>
      </c>
      <c r="D619" s="146" t="str">
        <f t="shared" si="127"/>
        <v>8</v>
      </c>
      <c r="E619" s="147" t="s">
        <v>441</v>
      </c>
      <c r="F619" s="147"/>
      <c r="G619" s="147"/>
      <c r="H619" s="148" t="s">
        <v>279</v>
      </c>
      <c r="I619" s="316">
        <v>2607428</v>
      </c>
      <c r="J619" s="170">
        <f t="shared" si="128"/>
        <v>2607428</v>
      </c>
      <c r="K619" s="168" t="str">
        <f t="shared" si="129"/>
        <v/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32">
        <f t="shared" si="123"/>
        <v>0</v>
      </c>
      <c r="AE619" s="132">
        <f t="shared" si="124"/>
        <v>2607428</v>
      </c>
      <c r="AF619" s="150">
        <f t="shared" si="125"/>
        <v>0</v>
      </c>
    </row>
    <row r="620" spans="1:32" x14ac:dyDescent="0.25">
      <c r="A620" s="315" t="s">
        <v>1611</v>
      </c>
      <c r="B620" s="315" t="s">
        <v>1664</v>
      </c>
      <c r="C620" s="314" t="str">
        <f t="shared" si="126"/>
        <v>A</v>
      </c>
      <c r="D620" s="146" t="str">
        <f t="shared" si="127"/>
        <v>8</v>
      </c>
      <c r="E620" s="147" t="s">
        <v>441</v>
      </c>
      <c r="F620" s="147"/>
      <c r="G620" s="147"/>
      <c r="H620" s="148" t="s">
        <v>279</v>
      </c>
      <c r="I620" s="316">
        <v>125000</v>
      </c>
      <c r="J620" s="170">
        <f t="shared" si="128"/>
        <v>125000</v>
      </c>
      <c r="K620" s="168" t="str">
        <f t="shared" si="129"/>
        <v/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32">
        <f t="shared" si="123"/>
        <v>0</v>
      </c>
      <c r="AE620" s="132">
        <f t="shared" si="124"/>
        <v>125000</v>
      </c>
      <c r="AF620" s="150">
        <f t="shared" si="125"/>
        <v>0</v>
      </c>
    </row>
    <row r="621" spans="1:32" x14ac:dyDescent="0.25">
      <c r="A621" s="315" t="s">
        <v>1219</v>
      </c>
      <c r="B621" s="315" t="s">
        <v>1237</v>
      </c>
      <c r="C621" s="314" t="str">
        <f t="shared" si="126"/>
        <v>A</v>
      </c>
      <c r="D621" s="146" t="str">
        <f t="shared" si="127"/>
        <v>8</v>
      </c>
      <c r="E621" s="147" t="s">
        <v>441</v>
      </c>
      <c r="F621" s="147"/>
      <c r="G621" s="147"/>
      <c r="H621" s="148" t="s">
        <v>279</v>
      </c>
      <c r="I621" s="316">
        <v>25000</v>
      </c>
      <c r="J621" s="170">
        <f t="shared" si="128"/>
        <v>25000</v>
      </c>
      <c r="K621" s="168" t="str">
        <f t="shared" si="129"/>
        <v/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32">
        <f t="shared" si="123"/>
        <v>0</v>
      </c>
      <c r="AE621" s="132">
        <f t="shared" si="124"/>
        <v>25000</v>
      </c>
      <c r="AF621" s="150">
        <f t="shared" si="125"/>
        <v>0</v>
      </c>
    </row>
    <row r="622" spans="1:32" x14ac:dyDescent="0.25">
      <c r="A622" s="315" t="s">
        <v>722</v>
      </c>
      <c r="B622" s="315" t="s">
        <v>869</v>
      </c>
      <c r="C622" s="314" t="str">
        <f t="shared" si="126"/>
        <v>A</v>
      </c>
      <c r="D622" s="146" t="str">
        <f t="shared" si="127"/>
        <v>8</v>
      </c>
      <c r="E622" s="147" t="s">
        <v>441</v>
      </c>
      <c r="F622" s="147"/>
      <c r="G622" s="147"/>
      <c r="H622" s="148" t="s">
        <v>279</v>
      </c>
      <c r="I622" s="316">
        <f>5677312+1338690</f>
        <v>7016002</v>
      </c>
      <c r="J622" s="170">
        <f t="shared" si="128"/>
        <v>7016002</v>
      </c>
      <c r="K622" s="168" t="str">
        <f t="shared" si="129"/>
        <v/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32">
        <f t="shared" si="123"/>
        <v>0</v>
      </c>
      <c r="AE622" s="132">
        <f t="shared" si="124"/>
        <v>7016002</v>
      </c>
      <c r="AF622" s="150">
        <f t="shared" si="125"/>
        <v>0</v>
      </c>
    </row>
    <row r="623" spans="1:32" x14ac:dyDescent="0.25">
      <c r="A623" s="315" t="s">
        <v>1242</v>
      </c>
      <c r="B623" s="315" t="s">
        <v>1492</v>
      </c>
      <c r="C623" s="314" t="str">
        <f t="shared" si="126"/>
        <v>A</v>
      </c>
      <c r="D623" s="146" t="str">
        <f t="shared" si="127"/>
        <v>8</v>
      </c>
      <c r="E623" s="147" t="s">
        <v>441</v>
      </c>
      <c r="F623" s="147"/>
      <c r="G623" s="147"/>
      <c r="H623" s="148" t="s">
        <v>279</v>
      </c>
      <c r="I623" s="316">
        <v>50000</v>
      </c>
      <c r="J623" s="170">
        <f t="shared" si="128"/>
        <v>50000</v>
      </c>
      <c r="K623" s="168" t="str">
        <f t="shared" si="129"/>
        <v/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32">
        <f t="shared" si="123"/>
        <v>0</v>
      </c>
      <c r="AE623" s="132">
        <f t="shared" si="124"/>
        <v>50000</v>
      </c>
      <c r="AF623" s="150">
        <f t="shared" si="125"/>
        <v>0</v>
      </c>
    </row>
    <row r="624" spans="1:32" x14ac:dyDescent="0.25">
      <c r="A624" s="315" t="s">
        <v>1581</v>
      </c>
      <c r="B624" s="315" t="s">
        <v>786</v>
      </c>
      <c r="C624" s="314" t="str">
        <f t="shared" si="126"/>
        <v>A</v>
      </c>
      <c r="D624" s="146" t="str">
        <f t="shared" si="127"/>
        <v>8</v>
      </c>
      <c r="E624" s="147" t="s">
        <v>441</v>
      </c>
      <c r="F624" s="147"/>
      <c r="G624" s="147"/>
      <c r="H624" s="148" t="s">
        <v>279</v>
      </c>
      <c r="I624" s="316">
        <f>2988690-1338690</f>
        <v>1650000</v>
      </c>
      <c r="J624" s="170">
        <f t="shared" si="128"/>
        <v>1650000</v>
      </c>
      <c r="K624" s="168" t="str">
        <f t="shared" si="129"/>
        <v/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32">
        <f t="shared" si="123"/>
        <v>0</v>
      </c>
      <c r="AE624" s="132">
        <f t="shared" si="124"/>
        <v>1650000</v>
      </c>
      <c r="AF624" s="150">
        <f t="shared" si="125"/>
        <v>0</v>
      </c>
    </row>
    <row r="625" spans="1:32" x14ac:dyDescent="0.25">
      <c r="A625" s="321" t="s">
        <v>1821</v>
      </c>
      <c r="B625" s="315" t="s">
        <v>514</v>
      </c>
      <c r="C625" s="314" t="str">
        <f t="shared" si="126"/>
        <v>A</v>
      </c>
      <c r="D625" s="146" t="str">
        <f t="shared" si="127"/>
        <v>8</v>
      </c>
      <c r="E625" s="147" t="s">
        <v>441</v>
      </c>
      <c r="F625" s="147"/>
      <c r="G625" s="147"/>
      <c r="H625" s="148" t="s">
        <v>279</v>
      </c>
      <c r="I625" s="316">
        <v>300000</v>
      </c>
      <c r="J625" s="170">
        <f t="shared" si="128"/>
        <v>300000</v>
      </c>
      <c r="K625" s="168" t="str">
        <f t="shared" si="129"/>
        <v/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32">
        <f t="shared" si="123"/>
        <v>0</v>
      </c>
      <c r="AE625" s="132">
        <f t="shared" si="124"/>
        <v>300000</v>
      </c>
      <c r="AF625" s="150">
        <f t="shared" si="125"/>
        <v>0</v>
      </c>
    </row>
    <row r="626" spans="1:32" x14ac:dyDescent="0.25">
      <c r="A626" s="321" t="s">
        <v>1822</v>
      </c>
      <c r="B626" s="315" t="s">
        <v>1312</v>
      </c>
      <c r="C626" s="314" t="str">
        <f t="shared" si="126"/>
        <v>A</v>
      </c>
      <c r="D626" s="146" t="str">
        <f t="shared" si="127"/>
        <v>8</v>
      </c>
      <c r="E626" s="147" t="s">
        <v>441</v>
      </c>
      <c r="F626" s="147"/>
      <c r="G626" s="147"/>
      <c r="H626" s="148" t="s">
        <v>279</v>
      </c>
      <c r="I626" s="316">
        <v>200000</v>
      </c>
      <c r="J626" s="170">
        <f t="shared" si="128"/>
        <v>200000</v>
      </c>
      <c r="K626" s="168" t="str">
        <f t="shared" si="129"/>
        <v/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32">
        <f t="shared" si="123"/>
        <v>0</v>
      </c>
      <c r="AE626" s="132">
        <f t="shared" si="124"/>
        <v>200000</v>
      </c>
      <c r="AF626" s="150">
        <f t="shared" si="125"/>
        <v>0</v>
      </c>
    </row>
    <row r="627" spans="1:32" x14ac:dyDescent="0.25">
      <c r="A627" s="315" t="s">
        <v>1192</v>
      </c>
      <c r="B627" s="315" t="s">
        <v>1539</v>
      </c>
      <c r="C627" s="314" t="str">
        <f t="shared" si="126"/>
        <v>A</v>
      </c>
      <c r="D627" s="146" t="str">
        <f t="shared" si="127"/>
        <v>6</v>
      </c>
      <c r="E627" s="147" t="s">
        <v>15</v>
      </c>
      <c r="F627" s="147"/>
      <c r="G627" s="147"/>
      <c r="H627" s="148" t="s">
        <v>279</v>
      </c>
      <c r="I627" s="316">
        <v>3800000</v>
      </c>
      <c r="J627" s="170">
        <f t="shared" si="128"/>
        <v>0</v>
      </c>
      <c r="K627" s="168">
        <f t="shared" si="129"/>
        <v>3800000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32">
        <f t="shared" si="123"/>
        <v>0</v>
      </c>
      <c r="AE627" s="132">
        <f t="shared" si="124"/>
        <v>3800000</v>
      </c>
      <c r="AF627" s="150">
        <f t="shared" si="125"/>
        <v>0</v>
      </c>
    </row>
    <row r="628" spans="1:32" x14ac:dyDescent="0.25">
      <c r="A628" s="315" t="s">
        <v>634</v>
      </c>
      <c r="B628" s="315" t="s">
        <v>629</v>
      </c>
      <c r="C628" s="314" t="str">
        <f t="shared" si="126"/>
        <v>A</v>
      </c>
      <c r="D628" s="146" t="str">
        <f t="shared" si="127"/>
        <v>7</v>
      </c>
      <c r="E628" s="147" t="s">
        <v>15</v>
      </c>
      <c r="F628" s="147"/>
      <c r="G628" s="147"/>
      <c r="H628" s="148" t="s">
        <v>279</v>
      </c>
      <c r="I628" s="316">
        <v>1456700</v>
      </c>
      <c r="J628" s="170">
        <f t="shared" si="128"/>
        <v>0</v>
      </c>
      <c r="K628" s="168">
        <f t="shared" si="129"/>
        <v>1456700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32">
        <f t="shared" si="123"/>
        <v>0</v>
      </c>
      <c r="AE628" s="132">
        <f t="shared" si="124"/>
        <v>1456700</v>
      </c>
      <c r="AF628" s="150">
        <f t="shared" si="125"/>
        <v>0</v>
      </c>
    </row>
    <row r="629" spans="1:32" x14ac:dyDescent="0.25">
      <c r="A629" s="315" t="s">
        <v>809</v>
      </c>
      <c r="B629" s="315" t="s">
        <v>542</v>
      </c>
      <c r="C629" s="314" t="str">
        <f t="shared" si="126"/>
        <v>A</v>
      </c>
      <c r="D629" s="146" t="str">
        <f t="shared" si="127"/>
        <v>6</v>
      </c>
      <c r="E629" s="147" t="s">
        <v>15</v>
      </c>
      <c r="F629" s="147"/>
      <c r="G629" s="147"/>
      <c r="H629" s="148" t="s">
        <v>279</v>
      </c>
      <c r="I629" s="316">
        <v>195000</v>
      </c>
      <c r="J629" s="170">
        <f t="shared" si="128"/>
        <v>0</v>
      </c>
      <c r="K629" s="168">
        <f t="shared" si="129"/>
        <v>195000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32">
        <f t="shared" si="123"/>
        <v>0</v>
      </c>
      <c r="AE629" s="132">
        <f t="shared" si="124"/>
        <v>195000</v>
      </c>
      <c r="AF629" s="150">
        <f t="shared" si="125"/>
        <v>0</v>
      </c>
    </row>
    <row r="630" spans="1:32" x14ac:dyDescent="0.25">
      <c r="A630" s="315" t="s">
        <v>1435</v>
      </c>
      <c r="B630" s="315" t="s">
        <v>1589</v>
      </c>
      <c r="C630" s="314" t="str">
        <f t="shared" si="126"/>
        <v>A</v>
      </c>
      <c r="D630" s="146" t="str">
        <f t="shared" si="127"/>
        <v>7</v>
      </c>
      <c r="E630" s="147" t="s">
        <v>15</v>
      </c>
      <c r="F630" s="147"/>
      <c r="G630" s="147"/>
      <c r="H630" s="148" t="s">
        <v>279</v>
      </c>
      <c r="I630" s="316">
        <v>532637</v>
      </c>
      <c r="J630" s="170">
        <f t="shared" si="128"/>
        <v>0</v>
      </c>
      <c r="K630" s="168">
        <f t="shared" si="129"/>
        <v>532637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32">
        <f t="shared" si="123"/>
        <v>0</v>
      </c>
      <c r="AE630" s="132">
        <f t="shared" si="124"/>
        <v>532637</v>
      </c>
      <c r="AF630" s="150">
        <f t="shared" si="125"/>
        <v>0</v>
      </c>
    </row>
    <row r="631" spans="1:32" x14ac:dyDescent="0.25">
      <c r="A631" s="315" t="s">
        <v>1565</v>
      </c>
      <c r="B631" s="315" t="s">
        <v>1698</v>
      </c>
      <c r="C631" s="314" t="str">
        <f t="shared" si="126"/>
        <v>A</v>
      </c>
      <c r="D631" s="146" t="str">
        <f t="shared" si="127"/>
        <v>9</v>
      </c>
      <c r="E631" s="147" t="s">
        <v>5</v>
      </c>
      <c r="F631" s="147"/>
      <c r="G631" s="147"/>
      <c r="H631" s="148" t="s">
        <v>279</v>
      </c>
      <c r="I631" s="316">
        <v>33000</v>
      </c>
      <c r="J631" s="170">
        <f t="shared" si="128"/>
        <v>0</v>
      </c>
      <c r="K631" s="168">
        <f t="shared" si="129"/>
        <v>33000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32">
        <f t="shared" si="123"/>
        <v>0</v>
      </c>
      <c r="AE631" s="132">
        <f t="shared" si="124"/>
        <v>33000</v>
      </c>
      <c r="AF631" s="150">
        <f t="shared" si="125"/>
        <v>0</v>
      </c>
    </row>
    <row r="632" spans="1:32" x14ac:dyDescent="0.25">
      <c r="A632" s="315" t="s">
        <v>1634</v>
      </c>
      <c r="B632" s="315" t="s">
        <v>751</v>
      </c>
      <c r="C632" s="314" t="str">
        <f t="shared" si="126"/>
        <v>A</v>
      </c>
      <c r="D632" s="146" t="str">
        <f t="shared" si="127"/>
        <v>9</v>
      </c>
      <c r="E632" s="147" t="s">
        <v>5</v>
      </c>
      <c r="F632" s="147"/>
      <c r="G632" s="147"/>
      <c r="H632" s="148" t="s">
        <v>279</v>
      </c>
      <c r="I632" s="316">
        <v>25000</v>
      </c>
      <c r="J632" s="170">
        <f t="shared" si="128"/>
        <v>0</v>
      </c>
      <c r="K632" s="168">
        <f t="shared" si="129"/>
        <v>25000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32">
        <f t="shared" si="123"/>
        <v>0</v>
      </c>
      <c r="AE632" s="132">
        <f t="shared" si="124"/>
        <v>25000</v>
      </c>
      <c r="AF632" s="150">
        <f t="shared" si="125"/>
        <v>0</v>
      </c>
    </row>
    <row r="633" spans="1:32" x14ac:dyDescent="0.25">
      <c r="A633" s="315" t="s">
        <v>1512</v>
      </c>
      <c r="B633" s="315" t="s">
        <v>963</v>
      </c>
      <c r="C633" s="314" t="str">
        <f t="shared" si="126"/>
        <v>A</v>
      </c>
      <c r="D633" s="146" t="str">
        <f t="shared" si="127"/>
        <v>9</v>
      </c>
      <c r="E633" s="147" t="s">
        <v>5</v>
      </c>
      <c r="F633" s="147"/>
      <c r="G633" s="147"/>
      <c r="H633" s="148" t="s">
        <v>279</v>
      </c>
      <c r="I633" s="316">
        <v>8500</v>
      </c>
      <c r="J633" s="170">
        <f t="shared" si="128"/>
        <v>0</v>
      </c>
      <c r="K633" s="168">
        <f t="shared" si="129"/>
        <v>8500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32">
        <f t="shared" si="123"/>
        <v>0</v>
      </c>
      <c r="AE633" s="132">
        <f t="shared" si="124"/>
        <v>8500</v>
      </c>
      <c r="AF633" s="150">
        <f t="shared" si="125"/>
        <v>0</v>
      </c>
    </row>
    <row r="634" spans="1:32" x14ac:dyDescent="0.25">
      <c r="A634" s="315" t="s">
        <v>1054</v>
      </c>
      <c r="B634" s="315" t="s">
        <v>488</v>
      </c>
      <c r="C634" s="314" t="str">
        <f t="shared" si="126"/>
        <v>A</v>
      </c>
      <c r="D634" s="146" t="str">
        <f t="shared" si="127"/>
        <v>9</v>
      </c>
      <c r="E634" s="147" t="s">
        <v>5</v>
      </c>
      <c r="F634" s="147"/>
      <c r="G634" s="147"/>
      <c r="H634" s="148" t="s">
        <v>279</v>
      </c>
      <c r="I634" s="316">
        <v>8500</v>
      </c>
      <c r="J634" s="170">
        <f t="shared" si="128"/>
        <v>0</v>
      </c>
      <c r="K634" s="168">
        <f t="shared" si="129"/>
        <v>8500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32">
        <f t="shared" si="123"/>
        <v>0</v>
      </c>
      <c r="AE634" s="132">
        <f t="shared" si="124"/>
        <v>8500</v>
      </c>
      <c r="AF634" s="150">
        <f t="shared" si="125"/>
        <v>0</v>
      </c>
    </row>
    <row r="635" spans="1:32" x14ac:dyDescent="0.25">
      <c r="A635" s="315" t="s">
        <v>1733</v>
      </c>
      <c r="B635" s="315" t="s">
        <v>1619</v>
      </c>
      <c r="C635" s="314" t="str">
        <f t="shared" si="126"/>
        <v>A</v>
      </c>
      <c r="D635" s="146" t="str">
        <f t="shared" si="127"/>
        <v>9</v>
      </c>
      <c r="E635" s="147" t="s">
        <v>5</v>
      </c>
      <c r="F635" s="147"/>
      <c r="G635" s="147"/>
      <c r="H635" s="148" t="s">
        <v>279</v>
      </c>
      <c r="I635" s="316">
        <v>8500</v>
      </c>
      <c r="J635" s="170">
        <f t="shared" si="128"/>
        <v>0</v>
      </c>
      <c r="K635" s="168">
        <f t="shared" si="129"/>
        <v>8500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32">
        <f t="shared" si="123"/>
        <v>0</v>
      </c>
      <c r="AE635" s="132">
        <f t="shared" si="124"/>
        <v>8500</v>
      </c>
      <c r="AF635" s="150">
        <f t="shared" si="125"/>
        <v>0</v>
      </c>
    </row>
    <row r="636" spans="1:32" x14ac:dyDescent="0.25">
      <c r="A636" s="315" t="s">
        <v>1491</v>
      </c>
      <c r="B636" s="315" t="s">
        <v>1547</v>
      </c>
      <c r="C636" s="314" t="str">
        <f t="shared" si="126"/>
        <v>A</v>
      </c>
      <c r="D636" s="146" t="str">
        <f t="shared" si="127"/>
        <v>9</v>
      </c>
      <c r="E636" s="147" t="s">
        <v>5</v>
      </c>
      <c r="F636" s="147"/>
      <c r="G636" s="147"/>
      <c r="H636" s="148" t="s">
        <v>279</v>
      </c>
      <c r="I636" s="316">
        <v>175000</v>
      </c>
      <c r="J636" s="170">
        <f t="shared" si="128"/>
        <v>0</v>
      </c>
      <c r="K636" s="168">
        <f t="shared" si="129"/>
        <v>175000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32">
        <f t="shared" si="123"/>
        <v>0</v>
      </c>
      <c r="AE636" s="132">
        <f t="shared" si="124"/>
        <v>175000</v>
      </c>
      <c r="AF636" s="150">
        <f t="shared" si="125"/>
        <v>0</v>
      </c>
    </row>
    <row r="637" spans="1:32" x14ac:dyDescent="0.25">
      <c r="A637" s="315" t="s">
        <v>1169</v>
      </c>
      <c r="B637" s="315" t="s">
        <v>1717</v>
      </c>
      <c r="C637" s="314" t="str">
        <f t="shared" si="126"/>
        <v>A</v>
      </c>
      <c r="D637" s="146" t="str">
        <f t="shared" si="127"/>
        <v>9</v>
      </c>
      <c r="E637" s="147" t="s">
        <v>5</v>
      </c>
      <c r="F637" s="147"/>
      <c r="G637" s="147"/>
      <c r="H637" s="148" t="s">
        <v>279</v>
      </c>
      <c r="I637" s="316">
        <v>100000</v>
      </c>
      <c r="J637" s="170">
        <f t="shared" si="128"/>
        <v>0</v>
      </c>
      <c r="K637" s="168">
        <f t="shared" si="129"/>
        <v>100000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32">
        <f t="shared" si="123"/>
        <v>0</v>
      </c>
      <c r="AE637" s="132">
        <f t="shared" si="124"/>
        <v>100000</v>
      </c>
      <c r="AF637" s="150">
        <f t="shared" si="125"/>
        <v>0</v>
      </c>
    </row>
    <row r="638" spans="1:32" x14ac:dyDescent="0.25">
      <c r="A638" s="315" t="s">
        <v>1787</v>
      </c>
      <c r="B638" s="315" t="s">
        <v>1756</v>
      </c>
      <c r="C638" s="314" t="str">
        <f t="shared" si="126"/>
        <v>F</v>
      </c>
      <c r="D638" s="146" t="str">
        <f t="shared" si="127"/>
        <v>1</v>
      </c>
      <c r="E638" s="147" t="s">
        <v>440</v>
      </c>
      <c r="F638" s="147" t="s">
        <v>319</v>
      </c>
      <c r="G638" s="147" t="s">
        <v>325</v>
      </c>
      <c r="H638" s="148" t="s">
        <v>34</v>
      </c>
      <c r="I638" s="316">
        <v>46081</v>
      </c>
      <c r="J638" s="170">
        <f t="shared" si="128"/>
        <v>0</v>
      </c>
      <c r="K638" s="168" t="str">
        <f t="shared" si="129"/>
        <v xml:space="preserve"> </v>
      </c>
      <c r="L638" s="147"/>
      <c r="M638" s="147">
        <f>I638</f>
        <v>46081</v>
      </c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32">
        <f t="shared" si="123"/>
        <v>46081</v>
      </c>
      <c r="AE638" s="132">
        <f t="shared" si="124"/>
        <v>46081</v>
      </c>
      <c r="AF638" s="150">
        <f t="shared" si="125"/>
        <v>0</v>
      </c>
    </row>
    <row r="639" spans="1:32" x14ac:dyDescent="0.25">
      <c r="A639" s="315" t="s">
        <v>1787</v>
      </c>
      <c r="B639" s="315" t="s">
        <v>1546</v>
      </c>
      <c r="C639" s="314" t="str">
        <f t="shared" si="126"/>
        <v>F</v>
      </c>
      <c r="D639" s="146" t="str">
        <f t="shared" si="127"/>
        <v>1</v>
      </c>
      <c r="E639" s="147" t="s">
        <v>440</v>
      </c>
      <c r="F639" s="147" t="s">
        <v>319</v>
      </c>
      <c r="G639" s="147" t="s">
        <v>325</v>
      </c>
      <c r="H639" s="148" t="s">
        <v>34</v>
      </c>
      <c r="I639" s="316">
        <v>32660</v>
      </c>
      <c r="J639" s="170">
        <f t="shared" si="128"/>
        <v>0</v>
      </c>
      <c r="K639" s="168" t="str">
        <f t="shared" si="129"/>
        <v xml:space="preserve"> </v>
      </c>
      <c r="L639" s="147"/>
      <c r="M639" s="147">
        <f>I639</f>
        <v>32660</v>
      </c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32">
        <f t="shared" si="123"/>
        <v>32660</v>
      </c>
      <c r="AE639" s="132">
        <f t="shared" si="124"/>
        <v>32660</v>
      </c>
      <c r="AF639" s="150">
        <f t="shared" si="125"/>
        <v>0</v>
      </c>
    </row>
    <row r="640" spans="1:32" x14ac:dyDescent="0.25">
      <c r="A640" s="315" t="s">
        <v>1788</v>
      </c>
      <c r="B640" s="315" t="s">
        <v>797</v>
      </c>
      <c r="C640" s="314" t="str">
        <f t="shared" si="126"/>
        <v>F</v>
      </c>
      <c r="D640" s="146" t="str">
        <f t="shared" si="127"/>
        <v>1</v>
      </c>
      <c r="E640" s="147" t="s">
        <v>440</v>
      </c>
      <c r="F640" s="147" t="s">
        <v>319</v>
      </c>
      <c r="G640" s="147" t="s">
        <v>325</v>
      </c>
      <c r="H640" s="148" t="s">
        <v>34</v>
      </c>
      <c r="I640" s="316">
        <v>7011</v>
      </c>
      <c r="J640" s="170">
        <f t="shared" si="128"/>
        <v>0</v>
      </c>
      <c r="K640" s="168" t="str">
        <f t="shared" si="129"/>
        <v xml:space="preserve"> </v>
      </c>
      <c r="L640" s="147"/>
      <c r="M640" s="147"/>
      <c r="N640" s="147"/>
      <c r="O640" s="147">
        <f>I640</f>
        <v>7011</v>
      </c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32">
        <f t="shared" si="123"/>
        <v>7011</v>
      </c>
      <c r="AE640" s="132">
        <f t="shared" si="124"/>
        <v>7011</v>
      </c>
      <c r="AF640" s="150">
        <f t="shared" si="125"/>
        <v>0</v>
      </c>
    </row>
    <row r="641" spans="1:32" x14ac:dyDescent="0.25">
      <c r="A641" s="315" t="s">
        <v>1788</v>
      </c>
      <c r="B641" s="315" t="s">
        <v>1321</v>
      </c>
      <c r="C641" s="314" t="str">
        <f t="shared" si="126"/>
        <v>F</v>
      </c>
      <c r="D641" s="146" t="str">
        <f t="shared" si="127"/>
        <v>1</v>
      </c>
      <c r="E641" s="147" t="s">
        <v>440</v>
      </c>
      <c r="F641" s="147" t="s">
        <v>319</v>
      </c>
      <c r="G641" s="147" t="s">
        <v>325</v>
      </c>
      <c r="H641" s="148" t="s">
        <v>34</v>
      </c>
      <c r="I641" s="316">
        <v>18853</v>
      </c>
      <c r="J641" s="170">
        <f t="shared" si="128"/>
        <v>0</v>
      </c>
      <c r="K641" s="168" t="str">
        <f t="shared" si="129"/>
        <v xml:space="preserve"> </v>
      </c>
      <c r="L641" s="147"/>
      <c r="M641" s="147"/>
      <c r="N641" s="147"/>
      <c r="O641" s="147">
        <f>I641</f>
        <v>18853</v>
      </c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32">
        <f t="shared" si="123"/>
        <v>18853</v>
      </c>
      <c r="AE641" s="132">
        <f t="shared" si="124"/>
        <v>18853</v>
      </c>
      <c r="AF641" s="150">
        <f t="shared" si="125"/>
        <v>0</v>
      </c>
    </row>
    <row r="642" spans="1:32" x14ac:dyDescent="0.25">
      <c r="A642" s="315" t="s">
        <v>1788</v>
      </c>
      <c r="B642" s="315" t="s">
        <v>798</v>
      </c>
      <c r="C642" s="314" t="str">
        <f t="shared" si="126"/>
        <v>F</v>
      </c>
      <c r="D642" s="146" t="str">
        <f t="shared" si="127"/>
        <v>1</v>
      </c>
      <c r="E642" s="147" t="s">
        <v>440</v>
      </c>
      <c r="F642" s="147" t="s">
        <v>319</v>
      </c>
      <c r="G642" s="147" t="s">
        <v>325</v>
      </c>
      <c r="H642" s="148" t="s">
        <v>34</v>
      </c>
      <c r="I642" s="316">
        <v>16741</v>
      </c>
      <c r="J642" s="170">
        <f t="shared" si="128"/>
        <v>0</v>
      </c>
      <c r="K642" s="168" t="str">
        <f t="shared" si="129"/>
        <v xml:space="preserve"> </v>
      </c>
      <c r="L642" s="147"/>
      <c r="M642" s="147"/>
      <c r="N642" s="147"/>
      <c r="O642" s="147">
        <f>I642</f>
        <v>16741</v>
      </c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32">
        <f t="shared" si="123"/>
        <v>16741</v>
      </c>
      <c r="AE642" s="132">
        <f t="shared" si="124"/>
        <v>16741</v>
      </c>
      <c r="AF642" s="150">
        <f t="shared" si="125"/>
        <v>0</v>
      </c>
    </row>
    <row r="643" spans="1:32" x14ac:dyDescent="0.25">
      <c r="A643" s="315" t="s">
        <v>1789</v>
      </c>
      <c r="B643" s="315" t="s">
        <v>1464</v>
      </c>
      <c r="C643" s="314" t="str">
        <f t="shared" si="126"/>
        <v>F</v>
      </c>
      <c r="D643" s="146" t="str">
        <f t="shared" si="127"/>
        <v>1</v>
      </c>
      <c r="E643" s="147" t="s">
        <v>440</v>
      </c>
      <c r="F643" s="147" t="s">
        <v>319</v>
      </c>
      <c r="G643" s="147" t="s">
        <v>325</v>
      </c>
      <c r="H643" s="148" t="s">
        <v>34</v>
      </c>
      <c r="I643" s="316">
        <v>48479</v>
      </c>
      <c r="J643" s="170">
        <f t="shared" si="128"/>
        <v>0</v>
      </c>
      <c r="K643" s="168" t="str">
        <f t="shared" si="129"/>
        <v xml:space="preserve"> </v>
      </c>
      <c r="L643" s="147"/>
      <c r="M643" s="147"/>
      <c r="N643" s="147"/>
      <c r="O643" s="147"/>
      <c r="P643" s="147">
        <f>I643</f>
        <v>48479</v>
      </c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32">
        <f t="shared" si="123"/>
        <v>48479</v>
      </c>
      <c r="AE643" s="132">
        <f t="shared" si="124"/>
        <v>48479</v>
      </c>
      <c r="AF643" s="150">
        <f t="shared" si="125"/>
        <v>0</v>
      </c>
    </row>
    <row r="644" spans="1:32" x14ac:dyDescent="0.25">
      <c r="A644" s="315" t="s">
        <v>1789</v>
      </c>
      <c r="B644" s="315" t="s">
        <v>1380</v>
      </c>
      <c r="C644" s="314" t="str">
        <f t="shared" si="126"/>
        <v>F</v>
      </c>
      <c r="D644" s="146" t="str">
        <f t="shared" si="127"/>
        <v>1</v>
      </c>
      <c r="E644" s="147" t="s">
        <v>440</v>
      </c>
      <c r="F644" s="147" t="s">
        <v>319</v>
      </c>
      <c r="G644" s="147" t="s">
        <v>325</v>
      </c>
      <c r="H644" s="148" t="s">
        <v>34</v>
      </c>
      <c r="I644" s="316">
        <v>2727</v>
      </c>
      <c r="J644" s="170">
        <f t="shared" si="128"/>
        <v>0</v>
      </c>
      <c r="K644" s="168" t="str">
        <f t="shared" si="129"/>
        <v xml:space="preserve"> </v>
      </c>
      <c r="L644" s="147"/>
      <c r="M644" s="147"/>
      <c r="N644" s="147"/>
      <c r="O644" s="147"/>
      <c r="P644" s="147">
        <f>I644</f>
        <v>2727</v>
      </c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32">
        <f t="shared" si="123"/>
        <v>2727</v>
      </c>
      <c r="AE644" s="132">
        <f t="shared" si="124"/>
        <v>2727</v>
      </c>
      <c r="AF644" s="150">
        <f t="shared" si="125"/>
        <v>0</v>
      </c>
    </row>
    <row r="645" spans="1:32" x14ac:dyDescent="0.25">
      <c r="A645" s="315" t="s">
        <v>1790</v>
      </c>
      <c r="B645" s="315" t="s">
        <v>483</v>
      </c>
      <c r="C645" s="314" t="str">
        <f t="shared" si="126"/>
        <v>F</v>
      </c>
      <c r="D645" s="146" t="str">
        <f t="shared" si="127"/>
        <v>1</v>
      </c>
      <c r="E645" s="147" t="s">
        <v>440</v>
      </c>
      <c r="F645" s="147" t="s">
        <v>319</v>
      </c>
      <c r="G645" s="147" t="s">
        <v>325</v>
      </c>
      <c r="H645" s="148" t="s">
        <v>34</v>
      </c>
      <c r="I645" s="316">
        <v>0.43</v>
      </c>
      <c r="J645" s="170">
        <f t="shared" si="128"/>
        <v>0</v>
      </c>
      <c r="K645" s="168" t="str">
        <f t="shared" si="129"/>
        <v xml:space="preserve"> </v>
      </c>
      <c r="L645" s="147"/>
      <c r="M645" s="147">
        <f>I645</f>
        <v>0.43</v>
      </c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32">
        <f t="shared" si="123"/>
        <v>0.43</v>
      </c>
      <c r="AE645" s="132">
        <f t="shared" si="124"/>
        <v>0.43</v>
      </c>
      <c r="AF645" s="150">
        <f t="shared" si="125"/>
        <v>0</v>
      </c>
    </row>
    <row r="646" spans="1:32" x14ac:dyDescent="0.25">
      <c r="A646" s="315" t="s">
        <v>1790</v>
      </c>
      <c r="B646" s="315" t="s">
        <v>1696</v>
      </c>
      <c r="C646" s="314" t="str">
        <f t="shared" si="126"/>
        <v>F</v>
      </c>
      <c r="D646" s="146" t="str">
        <f t="shared" si="127"/>
        <v>1</v>
      </c>
      <c r="E646" s="147" t="s">
        <v>440</v>
      </c>
      <c r="F646" s="147" t="s">
        <v>319</v>
      </c>
      <c r="G646" s="147" t="s">
        <v>325</v>
      </c>
      <c r="H646" s="148" t="s">
        <v>34</v>
      </c>
      <c r="I646" s="316">
        <v>0</v>
      </c>
      <c r="J646" s="170">
        <f t="shared" si="128"/>
        <v>0</v>
      </c>
      <c r="K646" s="168" t="str">
        <f t="shared" si="129"/>
        <v xml:space="preserve"> </v>
      </c>
      <c r="L646" s="147"/>
      <c r="M646" s="147">
        <f>I646</f>
        <v>0</v>
      </c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32">
        <f t="shared" si="123"/>
        <v>0</v>
      </c>
      <c r="AE646" s="132">
        <f t="shared" si="124"/>
        <v>0</v>
      </c>
      <c r="AF646" s="150">
        <f t="shared" si="125"/>
        <v>0</v>
      </c>
    </row>
    <row r="647" spans="1:32" x14ac:dyDescent="0.25">
      <c r="A647" s="315" t="s">
        <v>1791</v>
      </c>
      <c r="B647" s="315" t="s">
        <v>1628</v>
      </c>
      <c r="C647" s="314" t="str">
        <f t="shared" si="126"/>
        <v>F</v>
      </c>
      <c r="D647" s="146" t="str">
        <f t="shared" si="127"/>
        <v>1</v>
      </c>
      <c r="E647" s="147" t="s">
        <v>251</v>
      </c>
      <c r="F647" s="147"/>
      <c r="G647" s="147"/>
      <c r="H647" s="148" t="s">
        <v>34</v>
      </c>
      <c r="I647" s="316">
        <v>38000</v>
      </c>
      <c r="J647" s="170">
        <f t="shared" si="128"/>
        <v>0</v>
      </c>
      <c r="K647" s="168">
        <f t="shared" si="129"/>
        <v>38000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32">
        <f t="shared" ref="AD647:AD682" si="130">SUM(L647:AC647)</f>
        <v>0</v>
      </c>
      <c r="AE647" s="132">
        <f t="shared" ref="AE647:AE682" si="131">SUM(J647,K647,AD647)</f>
        <v>38000</v>
      </c>
      <c r="AF647" s="150">
        <f t="shared" ref="AF647:AF682" si="132">+I647-AE647</f>
        <v>0</v>
      </c>
    </row>
    <row r="648" spans="1:32" x14ac:dyDescent="0.25">
      <c r="A648" s="315" t="s">
        <v>1777</v>
      </c>
      <c r="B648" s="315" t="s">
        <v>500</v>
      </c>
      <c r="C648" s="314" t="str">
        <f t="shared" ref="C648:C682" si="133">CONCATENATE(MID(A648,1,1))</f>
        <v>F</v>
      </c>
      <c r="D648" s="146" t="str">
        <f t="shared" ref="D648:D682" si="134">CONCATENATE(MID(A648,8,1))</f>
        <v>4</v>
      </c>
      <c r="E648" s="147" t="s">
        <v>440</v>
      </c>
      <c r="F648" s="147" t="s">
        <v>323</v>
      </c>
      <c r="G648" s="147" t="s">
        <v>325</v>
      </c>
      <c r="H648" s="148" t="s">
        <v>34</v>
      </c>
      <c r="I648" s="316">
        <v>1330</v>
      </c>
      <c r="J648" s="170">
        <f t="shared" ref="J648:J682" si="135">IF(D648="8",I648,0)</f>
        <v>0</v>
      </c>
      <c r="K648" s="168" t="str">
        <f t="shared" ref="K648:K682" si="136">IF(E648&lt;&gt;"S",IF(D648&lt;&gt;"8",I648,"")," ")</f>
        <v xml:space="preserve"> </v>
      </c>
      <c r="L648" s="147"/>
      <c r="M648" s="147">
        <f>I648</f>
        <v>1330</v>
      </c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32">
        <f t="shared" si="130"/>
        <v>1330</v>
      </c>
      <c r="AE648" s="132">
        <f t="shared" si="131"/>
        <v>1330</v>
      </c>
      <c r="AF648" s="150">
        <f t="shared" si="132"/>
        <v>0</v>
      </c>
    </row>
    <row r="649" spans="1:32" x14ac:dyDescent="0.25">
      <c r="A649" s="315" t="s">
        <v>1778</v>
      </c>
      <c r="B649" s="315" t="s">
        <v>571</v>
      </c>
      <c r="C649" s="314" t="str">
        <f t="shared" si="133"/>
        <v>F</v>
      </c>
      <c r="D649" s="146" t="str">
        <f t="shared" si="134"/>
        <v>4</v>
      </c>
      <c r="E649" s="147" t="s">
        <v>251</v>
      </c>
      <c r="F649" s="147"/>
      <c r="G649" s="147"/>
      <c r="H649" s="148" t="s">
        <v>34</v>
      </c>
      <c r="I649" s="316">
        <v>0.48</v>
      </c>
      <c r="J649" s="170">
        <f t="shared" si="135"/>
        <v>0</v>
      </c>
      <c r="K649" s="168">
        <f t="shared" si="136"/>
        <v>0.48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32">
        <f t="shared" si="130"/>
        <v>0</v>
      </c>
      <c r="AE649" s="132">
        <f t="shared" si="131"/>
        <v>0.48</v>
      </c>
      <c r="AF649" s="150">
        <f t="shared" si="132"/>
        <v>0</v>
      </c>
    </row>
    <row r="650" spans="1:32" x14ac:dyDescent="0.25">
      <c r="A650" s="315" t="s">
        <v>1779</v>
      </c>
      <c r="B650" s="315" t="s">
        <v>1131</v>
      </c>
      <c r="C650" s="314" t="str">
        <f t="shared" si="133"/>
        <v>F</v>
      </c>
      <c r="D650" s="146" t="str">
        <f t="shared" si="134"/>
        <v>4</v>
      </c>
      <c r="E650" s="147" t="s">
        <v>251</v>
      </c>
      <c r="F650" s="147"/>
      <c r="G650" s="147"/>
      <c r="H650" s="148" t="s">
        <v>34</v>
      </c>
      <c r="I650" s="316">
        <v>4500</v>
      </c>
      <c r="J650" s="170">
        <f t="shared" si="135"/>
        <v>0</v>
      </c>
      <c r="K650" s="168">
        <f t="shared" si="136"/>
        <v>4500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32">
        <f t="shared" si="130"/>
        <v>0</v>
      </c>
      <c r="AE650" s="132">
        <f t="shared" si="131"/>
        <v>4500</v>
      </c>
      <c r="AF650" s="150">
        <f t="shared" si="132"/>
        <v>0</v>
      </c>
    </row>
    <row r="651" spans="1:32" x14ac:dyDescent="0.25">
      <c r="A651" s="315" t="s">
        <v>1780</v>
      </c>
      <c r="B651" s="315" t="s">
        <v>790</v>
      </c>
      <c r="C651" s="314" t="str">
        <f t="shared" si="133"/>
        <v>F</v>
      </c>
      <c r="D651" s="146" t="str">
        <f t="shared" si="134"/>
        <v>4</v>
      </c>
      <c r="E651" s="147" t="s">
        <v>251</v>
      </c>
      <c r="F651" s="147"/>
      <c r="G651" s="147"/>
      <c r="H651" s="148" t="s">
        <v>34</v>
      </c>
      <c r="I651" s="316">
        <v>32890</v>
      </c>
      <c r="J651" s="170">
        <f t="shared" si="135"/>
        <v>0</v>
      </c>
      <c r="K651" s="168">
        <f t="shared" si="136"/>
        <v>32890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32">
        <f t="shared" si="130"/>
        <v>0</v>
      </c>
      <c r="AE651" s="132">
        <f t="shared" si="131"/>
        <v>32890</v>
      </c>
      <c r="AF651" s="150">
        <f t="shared" si="132"/>
        <v>0</v>
      </c>
    </row>
    <row r="652" spans="1:32" x14ac:dyDescent="0.25">
      <c r="A652" s="315" t="s">
        <v>1799</v>
      </c>
      <c r="B652" s="315" t="s">
        <v>1692</v>
      </c>
      <c r="C652" s="314" t="str">
        <f t="shared" si="133"/>
        <v>F</v>
      </c>
      <c r="D652" s="146" t="str">
        <f t="shared" si="134"/>
        <v>4</v>
      </c>
      <c r="E652" s="147" t="s">
        <v>440</v>
      </c>
      <c r="F652" s="147" t="s">
        <v>323</v>
      </c>
      <c r="G652" s="147" t="s">
        <v>325</v>
      </c>
      <c r="H652" s="148" t="s">
        <v>34</v>
      </c>
      <c r="I652" s="316">
        <v>932</v>
      </c>
      <c r="J652" s="170">
        <f t="shared" si="135"/>
        <v>0</v>
      </c>
      <c r="K652" s="168" t="str">
        <f t="shared" si="136"/>
        <v xml:space="preserve"> </v>
      </c>
      <c r="L652" s="147"/>
      <c r="M652" s="147"/>
      <c r="N652" s="147"/>
      <c r="O652" s="147">
        <f>I652</f>
        <v>932</v>
      </c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32">
        <f t="shared" si="130"/>
        <v>932</v>
      </c>
      <c r="AE652" s="132">
        <f t="shared" si="131"/>
        <v>932</v>
      </c>
      <c r="AF652" s="150">
        <f t="shared" si="132"/>
        <v>0</v>
      </c>
    </row>
    <row r="653" spans="1:32" x14ac:dyDescent="0.25">
      <c r="A653" s="315" t="s">
        <v>1798</v>
      </c>
      <c r="B653" s="315" t="s">
        <v>1305</v>
      </c>
      <c r="C653" s="314" t="str">
        <f t="shared" si="133"/>
        <v>F</v>
      </c>
      <c r="D653" s="146" t="str">
        <f t="shared" si="134"/>
        <v>4</v>
      </c>
      <c r="E653" s="147" t="s">
        <v>440</v>
      </c>
      <c r="F653" s="147" t="s">
        <v>323</v>
      </c>
      <c r="G653" s="147" t="s">
        <v>325</v>
      </c>
      <c r="H653" s="148" t="s">
        <v>34</v>
      </c>
      <c r="I653" s="316">
        <v>0</v>
      </c>
      <c r="J653" s="170">
        <f t="shared" si="135"/>
        <v>0</v>
      </c>
      <c r="K653" s="168" t="str">
        <f t="shared" si="136"/>
        <v xml:space="preserve"> </v>
      </c>
      <c r="L653" s="147"/>
      <c r="M653" s="147">
        <f>I653</f>
        <v>0</v>
      </c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32">
        <f t="shared" si="130"/>
        <v>0</v>
      </c>
      <c r="AE653" s="132">
        <f t="shared" si="131"/>
        <v>0</v>
      </c>
      <c r="AF653" s="150">
        <f t="shared" si="132"/>
        <v>0</v>
      </c>
    </row>
    <row r="654" spans="1:32" x14ac:dyDescent="0.25">
      <c r="A654" s="315" t="s">
        <v>1792</v>
      </c>
      <c r="B654" s="315" t="s">
        <v>935</v>
      </c>
      <c r="C654" s="314" t="str">
        <f t="shared" si="133"/>
        <v>F</v>
      </c>
      <c r="D654" s="146" t="str">
        <f t="shared" si="134"/>
        <v>4</v>
      </c>
      <c r="E654" s="147" t="s">
        <v>440</v>
      </c>
      <c r="F654" s="147" t="s">
        <v>323</v>
      </c>
      <c r="G654" s="147" t="s">
        <v>325</v>
      </c>
      <c r="H654" s="148" t="s">
        <v>34</v>
      </c>
      <c r="I654" s="316">
        <v>1900</v>
      </c>
      <c r="J654" s="170">
        <f t="shared" si="135"/>
        <v>0</v>
      </c>
      <c r="K654" s="168" t="str">
        <f t="shared" si="136"/>
        <v xml:space="preserve"> </v>
      </c>
      <c r="L654" s="147"/>
      <c r="M654" s="147"/>
      <c r="N654" s="147"/>
      <c r="O654" s="147">
        <f>I654*0.5</f>
        <v>950</v>
      </c>
      <c r="P654" s="147">
        <f>I654*0.5</f>
        <v>950</v>
      </c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32">
        <f t="shared" si="130"/>
        <v>1900</v>
      </c>
      <c r="AE654" s="132">
        <f t="shared" si="131"/>
        <v>1900</v>
      </c>
      <c r="AF654" s="150">
        <f t="shared" si="132"/>
        <v>0</v>
      </c>
    </row>
    <row r="655" spans="1:32" x14ac:dyDescent="0.25">
      <c r="A655" s="315" t="s">
        <v>1793</v>
      </c>
      <c r="B655" s="315" t="s">
        <v>1545</v>
      </c>
      <c r="C655" s="314" t="str">
        <f t="shared" si="133"/>
        <v>F</v>
      </c>
      <c r="D655" s="146" t="str">
        <f t="shared" si="134"/>
        <v>4</v>
      </c>
      <c r="E655" s="147" t="s">
        <v>251</v>
      </c>
      <c r="F655" s="147"/>
      <c r="G655" s="147"/>
      <c r="H655" s="148" t="s">
        <v>34</v>
      </c>
      <c r="I655" s="316">
        <v>0</v>
      </c>
      <c r="J655" s="170">
        <f t="shared" si="135"/>
        <v>0</v>
      </c>
      <c r="K655" s="168">
        <f t="shared" si="136"/>
        <v>0</v>
      </c>
      <c r="L655" s="147"/>
      <c r="M655" s="147">
        <f>I655</f>
        <v>0</v>
      </c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32">
        <f t="shared" si="130"/>
        <v>0</v>
      </c>
      <c r="AE655" s="132">
        <f t="shared" si="131"/>
        <v>0</v>
      </c>
      <c r="AF655" s="150">
        <f t="shared" si="132"/>
        <v>0</v>
      </c>
    </row>
    <row r="656" spans="1:32" x14ac:dyDescent="0.25">
      <c r="A656" s="315" t="s">
        <v>1794</v>
      </c>
      <c r="B656" s="315" t="s">
        <v>773</v>
      </c>
      <c r="C656" s="314" t="str">
        <f t="shared" si="133"/>
        <v>F</v>
      </c>
      <c r="D656" s="146" t="str">
        <f t="shared" si="134"/>
        <v>4</v>
      </c>
      <c r="E656" s="147" t="s">
        <v>251</v>
      </c>
      <c r="F656" s="147"/>
      <c r="G656" s="147"/>
      <c r="H656" s="148" t="s">
        <v>34</v>
      </c>
      <c r="I656" s="316">
        <v>194.9</v>
      </c>
      <c r="J656" s="170">
        <f t="shared" si="135"/>
        <v>0</v>
      </c>
      <c r="K656" s="168">
        <f t="shared" si="136"/>
        <v>194.9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32">
        <f t="shared" si="130"/>
        <v>0</v>
      </c>
      <c r="AE656" s="132">
        <f t="shared" si="131"/>
        <v>194.9</v>
      </c>
      <c r="AF656" s="150">
        <f t="shared" si="132"/>
        <v>0</v>
      </c>
    </row>
    <row r="657" spans="1:32" x14ac:dyDescent="0.25">
      <c r="A657" s="315" t="s">
        <v>1795</v>
      </c>
      <c r="B657" s="315" t="s">
        <v>747</v>
      </c>
      <c r="C657" s="314" t="str">
        <f t="shared" si="133"/>
        <v>F</v>
      </c>
      <c r="D657" s="146" t="str">
        <f t="shared" si="134"/>
        <v>4</v>
      </c>
      <c r="E657" s="147" t="s">
        <v>251</v>
      </c>
      <c r="F657" s="147"/>
      <c r="G657" s="147"/>
      <c r="H657" s="148" t="s">
        <v>34</v>
      </c>
      <c r="I657" s="316">
        <v>83.14</v>
      </c>
      <c r="J657" s="170">
        <f t="shared" si="135"/>
        <v>0</v>
      </c>
      <c r="K657" s="168">
        <f t="shared" si="136"/>
        <v>83.14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32">
        <f t="shared" si="130"/>
        <v>0</v>
      </c>
      <c r="AE657" s="132">
        <f t="shared" si="131"/>
        <v>83.14</v>
      </c>
      <c r="AF657" s="150">
        <f t="shared" si="132"/>
        <v>0</v>
      </c>
    </row>
    <row r="658" spans="1:32" x14ac:dyDescent="0.25">
      <c r="A658" s="315" t="s">
        <v>1796</v>
      </c>
      <c r="B658" s="315" t="s">
        <v>911</v>
      </c>
      <c r="C658" s="314" t="str">
        <f t="shared" si="133"/>
        <v>F</v>
      </c>
      <c r="D658" s="146" t="str">
        <f t="shared" si="134"/>
        <v>4</v>
      </c>
      <c r="E658" s="147" t="s">
        <v>251</v>
      </c>
      <c r="F658" s="147"/>
      <c r="G658" s="147"/>
      <c r="H658" s="148" t="s">
        <v>34</v>
      </c>
      <c r="I658" s="316">
        <v>104.64</v>
      </c>
      <c r="J658" s="170">
        <f t="shared" si="135"/>
        <v>0</v>
      </c>
      <c r="K658" s="168">
        <f t="shared" si="136"/>
        <v>104.64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32">
        <f t="shared" si="130"/>
        <v>0</v>
      </c>
      <c r="AE658" s="132">
        <f t="shared" si="131"/>
        <v>104.64</v>
      </c>
      <c r="AF658" s="150">
        <f t="shared" si="132"/>
        <v>0</v>
      </c>
    </row>
    <row r="659" spans="1:32" x14ac:dyDescent="0.25">
      <c r="A659" s="315" t="s">
        <v>1797</v>
      </c>
      <c r="B659" s="315" t="s">
        <v>663</v>
      </c>
      <c r="C659" s="314" t="str">
        <f t="shared" si="133"/>
        <v>F</v>
      </c>
      <c r="D659" s="146" t="str">
        <f t="shared" si="134"/>
        <v>4</v>
      </c>
      <c r="E659" s="147" t="s">
        <v>251</v>
      </c>
      <c r="F659" s="147"/>
      <c r="G659" s="147"/>
      <c r="H659" s="148" t="s">
        <v>34</v>
      </c>
      <c r="I659" s="316">
        <v>50368.49</v>
      </c>
      <c r="J659" s="170">
        <f t="shared" si="135"/>
        <v>0</v>
      </c>
      <c r="K659" s="168">
        <f t="shared" si="136"/>
        <v>50368.49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32">
        <f t="shared" si="130"/>
        <v>0</v>
      </c>
      <c r="AE659" s="132">
        <f t="shared" si="131"/>
        <v>50368.49</v>
      </c>
      <c r="AF659" s="150">
        <f t="shared" si="132"/>
        <v>0</v>
      </c>
    </row>
    <row r="660" spans="1:32" x14ac:dyDescent="0.25">
      <c r="A660" s="315" t="s">
        <v>1764</v>
      </c>
      <c r="B660" s="315" t="s">
        <v>915</v>
      </c>
      <c r="C660" s="314" t="str">
        <f t="shared" si="133"/>
        <v>F</v>
      </c>
      <c r="D660" s="146" t="str">
        <f t="shared" si="134"/>
        <v>1</v>
      </c>
      <c r="E660" s="147" t="s">
        <v>440</v>
      </c>
      <c r="F660" s="147" t="s">
        <v>319</v>
      </c>
      <c r="G660" s="147" t="s">
        <v>327</v>
      </c>
      <c r="H660" s="148" t="s">
        <v>34</v>
      </c>
      <c r="I660" s="316">
        <v>287584</v>
      </c>
      <c r="J660" s="170">
        <f t="shared" si="135"/>
        <v>0</v>
      </c>
      <c r="K660" s="168" t="str">
        <f t="shared" si="136"/>
        <v xml:space="preserve"> </v>
      </c>
      <c r="L660" s="147">
        <f>I660</f>
        <v>287584</v>
      </c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32">
        <f t="shared" si="130"/>
        <v>287584</v>
      </c>
      <c r="AE660" s="132">
        <f t="shared" si="131"/>
        <v>287584</v>
      </c>
      <c r="AF660" s="150">
        <f t="shared" si="132"/>
        <v>0</v>
      </c>
    </row>
    <row r="661" spans="1:32" x14ac:dyDescent="0.25">
      <c r="A661" s="315" t="s">
        <v>1765</v>
      </c>
      <c r="B661" s="315" t="s">
        <v>977</v>
      </c>
      <c r="C661" s="314" t="str">
        <f t="shared" si="133"/>
        <v>F</v>
      </c>
      <c r="D661" s="146" t="str">
        <f t="shared" si="134"/>
        <v>1</v>
      </c>
      <c r="E661" s="147" t="s">
        <v>440</v>
      </c>
      <c r="F661" s="147" t="s">
        <v>319</v>
      </c>
      <c r="G661" s="147" t="s">
        <v>327</v>
      </c>
      <c r="H661" s="148" t="s">
        <v>34</v>
      </c>
      <c r="I661" s="316">
        <v>77155</v>
      </c>
      <c r="J661" s="170">
        <f t="shared" si="135"/>
        <v>0</v>
      </c>
      <c r="K661" s="168" t="str">
        <f t="shared" si="136"/>
        <v xml:space="preserve"> </v>
      </c>
      <c r="L661" s="147"/>
      <c r="M661" s="147">
        <f>I661</f>
        <v>77155</v>
      </c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32">
        <f t="shared" si="130"/>
        <v>77155</v>
      </c>
      <c r="AE661" s="132">
        <f t="shared" si="131"/>
        <v>77155</v>
      </c>
      <c r="AF661" s="150">
        <f t="shared" si="132"/>
        <v>0</v>
      </c>
    </row>
    <row r="662" spans="1:32" x14ac:dyDescent="0.25">
      <c r="A662" s="315" t="s">
        <v>1766</v>
      </c>
      <c r="B662" s="315" t="s">
        <v>1468</v>
      </c>
      <c r="C662" s="314" t="str">
        <f t="shared" si="133"/>
        <v>F</v>
      </c>
      <c r="D662" s="146" t="str">
        <f t="shared" si="134"/>
        <v>1</v>
      </c>
      <c r="E662" s="147" t="s">
        <v>440</v>
      </c>
      <c r="F662" s="147" t="s">
        <v>319</v>
      </c>
      <c r="G662" s="147" t="s">
        <v>327</v>
      </c>
      <c r="H662" s="148" t="s">
        <v>34</v>
      </c>
      <c r="I662" s="316">
        <v>102113</v>
      </c>
      <c r="J662" s="170">
        <f t="shared" si="135"/>
        <v>0</v>
      </c>
      <c r="K662" s="168" t="str">
        <f t="shared" si="136"/>
        <v xml:space="preserve"> </v>
      </c>
      <c r="L662" s="147"/>
      <c r="M662" s="147"/>
      <c r="N662" s="147">
        <f>I662</f>
        <v>102113</v>
      </c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32">
        <f t="shared" si="130"/>
        <v>102113</v>
      </c>
      <c r="AE662" s="132">
        <f t="shared" si="131"/>
        <v>102113</v>
      </c>
      <c r="AF662" s="150">
        <f t="shared" si="132"/>
        <v>0</v>
      </c>
    </row>
    <row r="663" spans="1:32" x14ac:dyDescent="0.25">
      <c r="A663" s="315" t="s">
        <v>1767</v>
      </c>
      <c r="B663" s="315" t="s">
        <v>1055</v>
      </c>
      <c r="C663" s="314" t="str">
        <f t="shared" si="133"/>
        <v>F</v>
      </c>
      <c r="D663" s="146" t="str">
        <f t="shared" si="134"/>
        <v>1</v>
      </c>
      <c r="E663" s="147" t="s">
        <v>440</v>
      </c>
      <c r="F663" s="147" t="s">
        <v>319</v>
      </c>
      <c r="G663" s="147" t="s">
        <v>327</v>
      </c>
      <c r="H663" s="148" t="s">
        <v>34</v>
      </c>
      <c r="I663" s="316">
        <v>87660</v>
      </c>
      <c r="J663" s="170">
        <f t="shared" si="135"/>
        <v>0</v>
      </c>
      <c r="K663" s="168" t="str">
        <f t="shared" si="136"/>
        <v xml:space="preserve"> </v>
      </c>
      <c r="L663" s="147"/>
      <c r="M663" s="147"/>
      <c r="N663" s="147"/>
      <c r="O663" s="147">
        <f>I663</f>
        <v>87660</v>
      </c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32">
        <f t="shared" si="130"/>
        <v>87660</v>
      </c>
      <c r="AE663" s="132">
        <f t="shared" si="131"/>
        <v>87660</v>
      </c>
      <c r="AF663" s="150">
        <f t="shared" si="132"/>
        <v>0</v>
      </c>
    </row>
    <row r="664" spans="1:32" x14ac:dyDescent="0.25">
      <c r="A664" s="315" t="s">
        <v>1768</v>
      </c>
      <c r="B664" s="315" t="s">
        <v>1498</v>
      </c>
      <c r="C664" s="314" t="str">
        <f t="shared" si="133"/>
        <v>F</v>
      </c>
      <c r="D664" s="146" t="str">
        <f t="shared" si="134"/>
        <v>1</v>
      </c>
      <c r="E664" s="147" t="s">
        <v>440</v>
      </c>
      <c r="F664" s="147" t="s">
        <v>319</v>
      </c>
      <c r="G664" s="147" t="s">
        <v>327</v>
      </c>
      <c r="H664" s="148" t="s">
        <v>34</v>
      </c>
      <c r="I664" s="316">
        <v>57265</v>
      </c>
      <c r="J664" s="170">
        <f t="shared" si="135"/>
        <v>0</v>
      </c>
      <c r="K664" s="168" t="str">
        <f t="shared" si="136"/>
        <v xml:space="preserve"> </v>
      </c>
      <c r="L664" s="147"/>
      <c r="M664" s="147"/>
      <c r="N664" s="147"/>
      <c r="O664" s="147"/>
      <c r="P664" s="147">
        <f>I664</f>
        <v>57265</v>
      </c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32">
        <f t="shared" si="130"/>
        <v>57265</v>
      </c>
      <c r="AE664" s="132">
        <f t="shared" si="131"/>
        <v>57265</v>
      </c>
      <c r="AF664" s="150">
        <f t="shared" si="132"/>
        <v>0</v>
      </c>
    </row>
    <row r="665" spans="1:32" x14ac:dyDescent="0.25">
      <c r="A665" s="315" t="s">
        <v>1769</v>
      </c>
      <c r="B665" s="315" t="s">
        <v>1748</v>
      </c>
      <c r="C665" s="314" t="str">
        <f t="shared" si="133"/>
        <v>F</v>
      </c>
      <c r="D665" s="146" t="str">
        <f t="shared" si="134"/>
        <v>1</v>
      </c>
      <c r="E665" s="147" t="s">
        <v>440</v>
      </c>
      <c r="F665" s="147" t="s">
        <v>319</v>
      </c>
      <c r="G665" s="147" t="s">
        <v>327</v>
      </c>
      <c r="H665" s="148" t="s">
        <v>34</v>
      </c>
      <c r="I665" s="316">
        <v>0</v>
      </c>
      <c r="J665" s="170">
        <f t="shared" si="135"/>
        <v>0</v>
      </c>
      <c r="K665" s="168" t="str">
        <f t="shared" si="136"/>
        <v xml:space="preserve"> </v>
      </c>
      <c r="L665" s="147"/>
      <c r="M665" s="147">
        <f>I665</f>
        <v>0</v>
      </c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32">
        <f t="shared" si="130"/>
        <v>0</v>
      </c>
      <c r="AE665" s="132">
        <f t="shared" si="131"/>
        <v>0</v>
      </c>
      <c r="AF665" s="150">
        <f t="shared" si="132"/>
        <v>0</v>
      </c>
    </row>
    <row r="666" spans="1:32" x14ac:dyDescent="0.25">
      <c r="A666" s="315" t="s">
        <v>1770</v>
      </c>
      <c r="B666" s="315" t="s">
        <v>1174</v>
      </c>
      <c r="C666" s="314" t="str">
        <f t="shared" si="133"/>
        <v>F</v>
      </c>
      <c r="D666" s="146" t="str">
        <f t="shared" si="134"/>
        <v>1</v>
      </c>
      <c r="E666" s="147" t="s">
        <v>440</v>
      </c>
      <c r="F666" s="147" t="s">
        <v>320</v>
      </c>
      <c r="G666" s="147" t="s">
        <v>327</v>
      </c>
      <c r="H666" s="148" t="s">
        <v>34</v>
      </c>
      <c r="I666" s="316">
        <v>40635</v>
      </c>
      <c r="J666" s="170">
        <f t="shared" si="135"/>
        <v>0</v>
      </c>
      <c r="K666" s="168" t="str">
        <f t="shared" si="136"/>
        <v xml:space="preserve"> </v>
      </c>
      <c r="L666" s="147">
        <f>$I$666*L7</f>
        <v>13256.902814136127</v>
      </c>
      <c r="M666" s="147">
        <f t="shared" ref="M666:P666" si="137">$I$666*M7</f>
        <v>9573.6910994764403</v>
      </c>
      <c r="N666" s="147">
        <f t="shared" si="137"/>
        <v>5704.3242801047127</v>
      </c>
      <c r="O666" s="147">
        <f t="shared" si="137"/>
        <v>5837.2922120418853</v>
      </c>
      <c r="P666" s="147">
        <f t="shared" si="137"/>
        <v>6262.7895942408386</v>
      </c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32">
        <f t="shared" si="130"/>
        <v>40635</v>
      </c>
      <c r="AE666" s="132">
        <f t="shared" si="131"/>
        <v>40635</v>
      </c>
      <c r="AF666" s="150">
        <f t="shared" si="132"/>
        <v>0</v>
      </c>
    </row>
    <row r="667" spans="1:32" x14ac:dyDescent="0.25">
      <c r="A667" s="315" t="s">
        <v>1770</v>
      </c>
      <c r="B667" s="315" t="s">
        <v>1016</v>
      </c>
      <c r="C667" s="314" t="str">
        <f t="shared" si="133"/>
        <v>F</v>
      </c>
      <c r="D667" s="146" t="str">
        <f t="shared" si="134"/>
        <v>1</v>
      </c>
      <c r="E667" s="147" t="s">
        <v>440</v>
      </c>
      <c r="F667" s="147" t="s">
        <v>320</v>
      </c>
      <c r="G667" s="147" t="s">
        <v>327</v>
      </c>
      <c r="H667" s="148" t="s">
        <v>34</v>
      </c>
      <c r="I667" s="316">
        <v>19541</v>
      </c>
      <c r="J667" s="170">
        <f t="shared" si="135"/>
        <v>0</v>
      </c>
      <c r="K667" s="168" t="str">
        <f t="shared" si="136"/>
        <v xml:space="preserve"> </v>
      </c>
      <c r="L667" s="147">
        <f>$I$667*L7</f>
        <v>6375.1233638743461</v>
      </c>
      <c r="M667" s="147">
        <f t="shared" ref="M667:P667" si="138">$I$667*M7</f>
        <v>4603.900523560209</v>
      </c>
      <c r="N667" s="147">
        <f t="shared" si="138"/>
        <v>2743.157395287958</v>
      </c>
      <c r="O667" s="147">
        <f t="shared" si="138"/>
        <v>2807.1004581151833</v>
      </c>
      <c r="P667" s="147">
        <f t="shared" si="138"/>
        <v>3011.7182591623041</v>
      </c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32">
        <f t="shared" si="130"/>
        <v>19541</v>
      </c>
      <c r="AE667" s="132">
        <f t="shared" si="131"/>
        <v>19541</v>
      </c>
      <c r="AF667" s="150">
        <f t="shared" si="132"/>
        <v>0</v>
      </c>
    </row>
    <row r="668" spans="1:32" x14ac:dyDescent="0.25">
      <c r="A668" s="315" t="s">
        <v>1771</v>
      </c>
      <c r="B668" s="315" t="s">
        <v>602</v>
      </c>
      <c r="C668" s="314" t="str">
        <f t="shared" si="133"/>
        <v>F</v>
      </c>
      <c r="D668" s="146" t="str">
        <f t="shared" si="134"/>
        <v>4</v>
      </c>
      <c r="E668" s="147" t="s">
        <v>440</v>
      </c>
      <c r="F668" s="147" t="s">
        <v>323</v>
      </c>
      <c r="G668" s="147" t="s">
        <v>327</v>
      </c>
      <c r="H668" s="148" t="s">
        <v>34</v>
      </c>
      <c r="I668" s="316">
        <v>69222</v>
      </c>
      <c r="J668" s="170">
        <f t="shared" si="135"/>
        <v>0</v>
      </c>
      <c r="K668" s="168" t="str">
        <f t="shared" si="136"/>
        <v xml:space="preserve"> </v>
      </c>
      <c r="L668" s="147">
        <f>$I$668*L7</f>
        <v>22583.224476439791</v>
      </c>
      <c r="M668" s="147">
        <f t="shared" ref="M668:P668" si="139">$I$668*M7</f>
        <v>16308.848167539267</v>
      </c>
      <c r="N668" s="147">
        <f t="shared" si="139"/>
        <v>9717.3553664921474</v>
      </c>
      <c r="O668" s="147">
        <f t="shared" si="139"/>
        <v>9943.8671465968582</v>
      </c>
      <c r="P668" s="147">
        <f t="shared" si="139"/>
        <v>10668.704842931938</v>
      </c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32">
        <f t="shared" si="130"/>
        <v>69222</v>
      </c>
      <c r="AE668" s="132">
        <f t="shared" si="131"/>
        <v>69222</v>
      </c>
      <c r="AF668" s="150">
        <f t="shared" si="132"/>
        <v>0</v>
      </c>
    </row>
    <row r="669" spans="1:32" x14ac:dyDescent="0.25">
      <c r="A669" s="315" t="s">
        <v>1771</v>
      </c>
      <c r="B669" s="315" t="s">
        <v>1700</v>
      </c>
      <c r="C669" s="314" t="str">
        <f t="shared" si="133"/>
        <v>F</v>
      </c>
      <c r="D669" s="146" t="str">
        <f t="shared" si="134"/>
        <v>4</v>
      </c>
      <c r="E669" s="147" t="s">
        <v>440</v>
      </c>
      <c r="F669" s="147" t="s">
        <v>323</v>
      </c>
      <c r="G669" s="147" t="s">
        <v>327</v>
      </c>
      <c r="H669" s="148" t="s">
        <v>34</v>
      </c>
      <c r="I669" s="316">
        <v>13640</v>
      </c>
      <c r="J669" s="170">
        <f t="shared" si="135"/>
        <v>0</v>
      </c>
      <c r="K669" s="168" t="str">
        <f t="shared" si="136"/>
        <v xml:space="preserve"> </v>
      </c>
      <c r="L669" s="147">
        <f>$I$669*L7</f>
        <v>4449.9607329842929</v>
      </c>
      <c r="M669" s="147">
        <f t="shared" ref="M669:P669" si="140">$I$669*M7</f>
        <v>3213.6125654450261</v>
      </c>
      <c r="N669" s="147">
        <f t="shared" si="140"/>
        <v>1914.7774869109949</v>
      </c>
      <c r="O669" s="147">
        <f t="shared" si="140"/>
        <v>1959.4109947643979</v>
      </c>
      <c r="P669" s="147">
        <f t="shared" si="140"/>
        <v>2102.2382198952882</v>
      </c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32">
        <f t="shared" si="130"/>
        <v>13640</v>
      </c>
      <c r="AE669" s="132">
        <f t="shared" si="131"/>
        <v>13640</v>
      </c>
      <c r="AF669" s="150">
        <f t="shared" si="132"/>
        <v>0</v>
      </c>
    </row>
    <row r="670" spans="1:32" x14ac:dyDescent="0.25">
      <c r="A670" s="315" t="s">
        <v>1772</v>
      </c>
      <c r="B670" s="315" t="s">
        <v>1646</v>
      </c>
      <c r="C670" s="314" t="str">
        <f t="shared" si="133"/>
        <v>F</v>
      </c>
      <c r="D670" s="146" t="str">
        <f t="shared" si="134"/>
        <v>4</v>
      </c>
      <c r="E670" s="147" t="s">
        <v>440</v>
      </c>
      <c r="F670" s="147" t="s">
        <v>323</v>
      </c>
      <c r="G670" s="147" t="s">
        <v>327</v>
      </c>
      <c r="H670" s="148" t="s">
        <v>34</v>
      </c>
      <c r="I670" s="316">
        <v>0</v>
      </c>
      <c r="J670" s="170">
        <f t="shared" si="135"/>
        <v>0</v>
      </c>
      <c r="K670" s="168" t="str">
        <f t="shared" si="136"/>
        <v xml:space="preserve"> </v>
      </c>
      <c r="L670" s="147">
        <f>I670</f>
        <v>0</v>
      </c>
      <c r="M670" s="147">
        <f t="shared" ref="M670:P670" si="141">J670</f>
        <v>0</v>
      </c>
      <c r="N670" s="147" t="str">
        <f t="shared" si="141"/>
        <v xml:space="preserve"> </v>
      </c>
      <c r="O670" s="147">
        <f t="shared" si="141"/>
        <v>0</v>
      </c>
      <c r="P670" s="147">
        <f t="shared" si="141"/>
        <v>0</v>
      </c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32">
        <f t="shared" si="130"/>
        <v>0</v>
      </c>
      <c r="AE670" s="132">
        <f t="shared" si="131"/>
        <v>0</v>
      </c>
      <c r="AF670" s="150">
        <f t="shared" si="132"/>
        <v>0</v>
      </c>
    </row>
    <row r="671" spans="1:32" x14ac:dyDescent="0.25">
      <c r="A671" s="315" t="s">
        <v>1773</v>
      </c>
      <c r="B671" s="315" t="s">
        <v>512</v>
      </c>
      <c r="C671" s="314" t="str">
        <f t="shared" si="133"/>
        <v>F</v>
      </c>
      <c r="D671" s="146" t="str">
        <f t="shared" si="134"/>
        <v>4</v>
      </c>
      <c r="E671" s="147" t="s">
        <v>440</v>
      </c>
      <c r="F671" s="147" t="s">
        <v>323</v>
      </c>
      <c r="G671" s="147" t="s">
        <v>327</v>
      </c>
      <c r="H671" s="148" t="s">
        <v>34</v>
      </c>
      <c r="I671" s="316">
        <v>174</v>
      </c>
      <c r="J671" s="170">
        <f t="shared" si="135"/>
        <v>0</v>
      </c>
      <c r="K671" s="168" t="str">
        <f t="shared" si="136"/>
        <v xml:space="preserve"> </v>
      </c>
      <c r="L671" s="147">
        <f>$I$671*L7</f>
        <v>56.766361256544506</v>
      </c>
      <c r="M671" s="147">
        <f t="shared" ref="M671:P671" si="142">$I$671*M7</f>
        <v>40.994764397905762</v>
      </c>
      <c r="N671" s="147">
        <f t="shared" si="142"/>
        <v>24.426047120418851</v>
      </c>
      <c r="O671" s="147">
        <f t="shared" si="142"/>
        <v>24.995418848167539</v>
      </c>
      <c r="P671" s="147">
        <f t="shared" si="142"/>
        <v>26.817408376963353</v>
      </c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32">
        <f t="shared" si="130"/>
        <v>174</v>
      </c>
      <c r="AE671" s="132">
        <f t="shared" si="131"/>
        <v>174</v>
      </c>
      <c r="AF671" s="150">
        <f t="shared" si="132"/>
        <v>0</v>
      </c>
    </row>
    <row r="672" spans="1:32" x14ac:dyDescent="0.25">
      <c r="A672" s="315" t="s">
        <v>1773</v>
      </c>
      <c r="B672" s="315" t="s">
        <v>694</v>
      </c>
      <c r="C672" s="314" t="str">
        <f t="shared" si="133"/>
        <v>F</v>
      </c>
      <c r="D672" s="146" t="str">
        <f t="shared" si="134"/>
        <v>4</v>
      </c>
      <c r="E672" s="147" t="s">
        <v>440</v>
      </c>
      <c r="F672" s="147" t="s">
        <v>323</v>
      </c>
      <c r="G672" s="147" t="s">
        <v>327</v>
      </c>
      <c r="H672" s="148" t="s">
        <v>34</v>
      </c>
      <c r="I672" s="316">
        <v>550</v>
      </c>
      <c r="J672" s="170">
        <f t="shared" si="135"/>
        <v>0</v>
      </c>
      <c r="K672" s="168" t="str">
        <f t="shared" si="136"/>
        <v xml:space="preserve"> </v>
      </c>
      <c r="L672" s="147">
        <f>$I$672*L7</f>
        <v>179.43390052356023</v>
      </c>
      <c r="M672" s="147">
        <f t="shared" ref="M672:P672" si="143">$I$672*M7</f>
        <v>129.58115183246073</v>
      </c>
      <c r="N672" s="147">
        <f t="shared" si="143"/>
        <v>77.208769633507856</v>
      </c>
      <c r="O672" s="147">
        <f t="shared" si="143"/>
        <v>79.008507853403145</v>
      </c>
      <c r="P672" s="147">
        <f t="shared" si="143"/>
        <v>84.767670157068068</v>
      </c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32">
        <f t="shared" si="130"/>
        <v>550.00000000000011</v>
      </c>
      <c r="AE672" s="132">
        <f t="shared" si="131"/>
        <v>550.00000000000011</v>
      </c>
      <c r="AF672" s="150">
        <f t="shared" si="132"/>
        <v>0</v>
      </c>
    </row>
    <row r="673" spans="1:32" x14ac:dyDescent="0.25">
      <c r="A673" s="315" t="s">
        <v>1774</v>
      </c>
      <c r="B673" s="315" t="s">
        <v>1078</v>
      </c>
      <c r="C673" s="314" t="str">
        <f t="shared" si="133"/>
        <v>F</v>
      </c>
      <c r="D673" s="146" t="str">
        <f t="shared" si="134"/>
        <v>1</v>
      </c>
      <c r="E673" s="147" t="s">
        <v>440</v>
      </c>
      <c r="F673" s="147" t="s">
        <v>319</v>
      </c>
      <c r="G673" s="147" t="s">
        <v>327</v>
      </c>
      <c r="H673" s="148" t="s">
        <v>34</v>
      </c>
      <c r="I673" s="316">
        <v>0</v>
      </c>
      <c r="J673" s="170">
        <f t="shared" si="135"/>
        <v>0</v>
      </c>
      <c r="K673" s="168" t="str">
        <f t="shared" si="136"/>
        <v xml:space="preserve"> 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32">
        <f t="shared" si="130"/>
        <v>0</v>
      </c>
      <c r="AE673" s="132">
        <f t="shared" si="131"/>
        <v>0</v>
      </c>
      <c r="AF673" s="150">
        <f t="shared" si="132"/>
        <v>0</v>
      </c>
    </row>
    <row r="674" spans="1:32" x14ac:dyDescent="0.25">
      <c r="A674" s="315" t="s">
        <v>1775</v>
      </c>
      <c r="B674" s="315" t="s">
        <v>1021</v>
      </c>
      <c r="C674" s="314" t="str">
        <f t="shared" si="133"/>
        <v>F</v>
      </c>
      <c r="D674" s="146" t="str">
        <f t="shared" si="134"/>
        <v>1</v>
      </c>
      <c r="E674" s="147" t="s">
        <v>440</v>
      </c>
      <c r="F674" s="147" t="s">
        <v>320</v>
      </c>
      <c r="G674" s="147" t="s">
        <v>327</v>
      </c>
      <c r="H674" s="148" t="s">
        <v>34</v>
      </c>
      <c r="I674" s="316">
        <v>0</v>
      </c>
      <c r="J674" s="170">
        <f t="shared" si="135"/>
        <v>0</v>
      </c>
      <c r="K674" s="168" t="str">
        <f t="shared" si="136"/>
        <v xml:space="preserve"> 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32">
        <f t="shared" si="130"/>
        <v>0</v>
      </c>
      <c r="AE674" s="132">
        <f t="shared" si="131"/>
        <v>0</v>
      </c>
      <c r="AF674" s="150">
        <f t="shared" si="132"/>
        <v>0</v>
      </c>
    </row>
    <row r="675" spans="1:32" x14ac:dyDescent="0.25">
      <c r="A675" s="315" t="s">
        <v>1776</v>
      </c>
      <c r="B675" s="315" t="s">
        <v>927</v>
      </c>
      <c r="C675" s="314" t="str">
        <f t="shared" si="133"/>
        <v>F</v>
      </c>
      <c r="D675" s="146" t="str">
        <f t="shared" si="134"/>
        <v>4</v>
      </c>
      <c r="E675" s="147" t="s">
        <v>440</v>
      </c>
      <c r="F675" s="147" t="s">
        <v>323</v>
      </c>
      <c r="G675" s="147" t="s">
        <v>327</v>
      </c>
      <c r="H675" s="148" t="s">
        <v>34</v>
      </c>
      <c r="I675" s="316">
        <v>0</v>
      </c>
      <c r="J675" s="170">
        <f t="shared" si="135"/>
        <v>0</v>
      </c>
      <c r="K675" s="168" t="str">
        <f t="shared" si="136"/>
        <v xml:space="preserve"> 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32">
        <f t="shared" si="130"/>
        <v>0</v>
      </c>
      <c r="AE675" s="132">
        <f t="shared" si="131"/>
        <v>0</v>
      </c>
      <c r="AF675" s="150">
        <f t="shared" si="132"/>
        <v>0</v>
      </c>
    </row>
    <row r="676" spans="1:32" x14ac:dyDescent="0.25">
      <c r="A676" s="315" t="s">
        <v>1800</v>
      </c>
      <c r="B676" s="315" t="s">
        <v>598</v>
      </c>
      <c r="C676" s="314" t="str">
        <f t="shared" si="133"/>
        <v>F</v>
      </c>
      <c r="D676" s="146" t="str">
        <f t="shared" si="134"/>
        <v>4</v>
      </c>
      <c r="E676" s="147" t="s">
        <v>249</v>
      </c>
      <c r="F676" s="147"/>
      <c r="G676" s="147"/>
      <c r="H676" s="148" t="s">
        <v>34</v>
      </c>
      <c r="I676" s="316">
        <v>0</v>
      </c>
      <c r="J676" s="170">
        <f t="shared" si="135"/>
        <v>0</v>
      </c>
      <c r="K676" s="168">
        <f t="shared" si="136"/>
        <v>0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32">
        <f t="shared" si="130"/>
        <v>0</v>
      </c>
      <c r="AE676" s="132">
        <f t="shared" si="131"/>
        <v>0</v>
      </c>
      <c r="AF676" s="150">
        <f t="shared" si="132"/>
        <v>0</v>
      </c>
    </row>
    <row r="677" spans="1:32" x14ac:dyDescent="0.25">
      <c r="A677" s="315" t="s">
        <v>1781</v>
      </c>
      <c r="B677" s="315" t="s">
        <v>1461</v>
      </c>
      <c r="C677" s="314" t="str">
        <f t="shared" si="133"/>
        <v>F</v>
      </c>
      <c r="D677" s="146" t="str">
        <f t="shared" si="134"/>
        <v>8</v>
      </c>
      <c r="E677" s="147" t="s">
        <v>441</v>
      </c>
      <c r="F677" s="147"/>
      <c r="G677" s="147"/>
      <c r="H677" s="148" t="s">
        <v>34</v>
      </c>
      <c r="I677" s="316">
        <v>7504</v>
      </c>
      <c r="J677" s="170">
        <f t="shared" si="135"/>
        <v>7504</v>
      </c>
      <c r="K677" s="168" t="str">
        <f t="shared" si="136"/>
        <v/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32">
        <f t="shared" si="130"/>
        <v>0</v>
      </c>
      <c r="AE677" s="132">
        <f t="shared" si="131"/>
        <v>7504</v>
      </c>
      <c r="AF677" s="150">
        <f t="shared" si="132"/>
        <v>0</v>
      </c>
    </row>
    <row r="678" spans="1:32" x14ac:dyDescent="0.25">
      <c r="A678" s="315" t="s">
        <v>1782</v>
      </c>
      <c r="B678" s="315" t="s">
        <v>769</v>
      </c>
      <c r="C678" s="314" t="str">
        <f t="shared" si="133"/>
        <v>F</v>
      </c>
      <c r="D678" s="146" t="str">
        <f t="shared" si="134"/>
        <v>8</v>
      </c>
      <c r="E678" s="147" t="s">
        <v>441</v>
      </c>
      <c r="F678" s="147"/>
      <c r="G678" s="147"/>
      <c r="H678" s="148" t="s">
        <v>34</v>
      </c>
      <c r="I678" s="316">
        <v>6024</v>
      </c>
      <c r="J678" s="170">
        <f t="shared" si="135"/>
        <v>6024</v>
      </c>
      <c r="K678" s="168" t="str">
        <f t="shared" si="136"/>
        <v/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32">
        <f t="shared" si="130"/>
        <v>0</v>
      </c>
      <c r="AE678" s="132">
        <f t="shared" si="131"/>
        <v>6024</v>
      </c>
      <c r="AF678" s="150">
        <f t="shared" si="132"/>
        <v>0</v>
      </c>
    </row>
    <row r="679" spans="1:32" x14ac:dyDescent="0.25">
      <c r="A679" s="315" t="s">
        <v>1785</v>
      </c>
      <c r="B679" s="315" t="s">
        <v>603</v>
      </c>
      <c r="C679" s="314" t="str">
        <f t="shared" si="133"/>
        <v>F</v>
      </c>
      <c r="D679" s="146" t="str">
        <f t="shared" si="134"/>
        <v>8</v>
      </c>
      <c r="E679" s="147" t="s">
        <v>441</v>
      </c>
      <c r="F679" s="147"/>
      <c r="G679" s="147"/>
      <c r="H679" s="148" t="s">
        <v>34</v>
      </c>
      <c r="I679" s="316">
        <v>2907</v>
      </c>
      <c r="J679" s="170">
        <f t="shared" si="135"/>
        <v>2907</v>
      </c>
      <c r="K679" s="168" t="str">
        <f t="shared" si="136"/>
        <v/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32">
        <f t="shared" si="130"/>
        <v>0</v>
      </c>
      <c r="AE679" s="132">
        <f t="shared" si="131"/>
        <v>2907</v>
      </c>
      <c r="AF679" s="150">
        <f t="shared" si="132"/>
        <v>0</v>
      </c>
    </row>
    <row r="680" spans="1:32" x14ac:dyDescent="0.25">
      <c r="A680" s="315" t="s">
        <v>1783</v>
      </c>
      <c r="B680" s="315" t="s">
        <v>1318</v>
      </c>
      <c r="C680" s="314" t="str">
        <f t="shared" si="133"/>
        <v>F</v>
      </c>
      <c r="D680" s="146" t="str">
        <f t="shared" si="134"/>
        <v>8</v>
      </c>
      <c r="E680" s="147" t="s">
        <v>441</v>
      </c>
      <c r="F680" s="147"/>
      <c r="G680" s="147"/>
      <c r="H680" s="148" t="s">
        <v>34</v>
      </c>
      <c r="I680" s="316">
        <v>5906</v>
      </c>
      <c r="J680" s="170">
        <f t="shared" si="135"/>
        <v>5906</v>
      </c>
      <c r="K680" s="168" t="str">
        <f t="shared" si="136"/>
        <v/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32">
        <f t="shared" si="130"/>
        <v>0</v>
      </c>
      <c r="AE680" s="132">
        <f t="shared" si="131"/>
        <v>5906</v>
      </c>
      <c r="AF680" s="150">
        <f t="shared" si="132"/>
        <v>0</v>
      </c>
    </row>
    <row r="681" spans="1:32" x14ac:dyDescent="0.25">
      <c r="A681" s="315" t="s">
        <v>1784</v>
      </c>
      <c r="B681" s="315" t="s">
        <v>513</v>
      </c>
      <c r="C681" s="314" t="str">
        <f t="shared" si="133"/>
        <v>F</v>
      </c>
      <c r="D681" s="146" t="str">
        <f t="shared" si="134"/>
        <v>8</v>
      </c>
      <c r="E681" s="147" t="s">
        <v>441</v>
      </c>
      <c r="F681" s="147"/>
      <c r="G681" s="147"/>
      <c r="H681" s="148" t="s">
        <v>34</v>
      </c>
      <c r="I681" s="316">
        <v>17702</v>
      </c>
      <c r="J681" s="170">
        <f t="shared" si="135"/>
        <v>17702</v>
      </c>
      <c r="K681" s="168" t="str">
        <f t="shared" si="136"/>
        <v/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32">
        <f t="shared" si="130"/>
        <v>0</v>
      </c>
      <c r="AE681" s="132">
        <f t="shared" si="131"/>
        <v>17702</v>
      </c>
      <c r="AF681" s="150">
        <f t="shared" si="132"/>
        <v>0</v>
      </c>
    </row>
    <row r="682" spans="1:32" x14ac:dyDescent="0.25">
      <c r="A682" s="315" t="s">
        <v>1786</v>
      </c>
      <c r="B682" s="315" t="s">
        <v>710</v>
      </c>
      <c r="C682" s="314" t="str">
        <f t="shared" si="133"/>
        <v>F</v>
      </c>
      <c r="D682" s="146" t="str">
        <f t="shared" si="134"/>
        <v>8</v>
      </c>
      <c r="E682" s="147" t="s">
        <v>441</v>
      </c>
      <c r="F682" s="147"/>
      <c r="G682" s="147"/>
      <c r="H682" s="148" t="s">
        <v>34</v>
      </c>
      <c r="I682" s="316">
        <v>382</v>
      </c>
      <c r="J682" s="170">
        <f t="shared" si="135"/>
        <v>382</v>
      </c>
      <c r="K682" s="168" t="str">
        <f t="shared" si="136"/>
        <v/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32">
        <f t="shared" si="130"/>
        <v>0</v>
      </c>
      <c r="AE682" s="132">
        <f t="shared" si="131"/>
        <v>382</v>
      </c>
      <c r="AF682" s="150">
        <f t="shared" si="132"/>
        <v>0</v>
      </c>
    </row>
    <row r="683" spans="1:32" x14ac:dyDescent="0.25">
      <c r="A683" s="151"/>
      <c r="B683" s="151"/>
      <c r="C683" s="169" t="str">
        <f t="shared" ref="C683:C685" si="144">CONCATENATE(MID(A683,1,1))</f>
        <v/>
      </c>
      <c r="D683" s="146" t="str">
        <f t="shared" ref="D683:D685" si="145">CONCATENATE(MID(A683,10,1))</f>
        <v/>
      </c>
      <c r="E683" s="147"/>
      <c r="F683" s="147"/>
      <c r="G683" s="147"/>
      <c r="H683" s="148"/>
      <c r="I683" s="147"/>
      <c r="J683" s="170">
        <f t="shared" ref="J683:J685" si="146">IF(D683="8",I683,0)</f>
        <v>0</v>
      </c>
      <c r="K683" s="168">
        <f t="shared" ref="K683" si="147">IF(E683&lt;&gt;"S",IF(D683&lt;&gt;"8",I683,"")," ")</f>
        <v>0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32">
        <f>SUM(L683:AC683)</f>
        <v>0</v>
      </c>
      <c r="AE683" s="132">
        <f t="shared" si="63"/>
        <v>0</v>
      </c>
      <c r="AF683" s="150">
        <f t="shared" si="64"/>
        <v>0</v>
      </c>
    </row>
    <row r="684" spans="1:32" x14ac:dyDescent="0.25">
      <c r="A684" s="151"/>
      <c r="B684" s="151"/>
      <c r="C684" s="169" t="str">
        <f t="shared" si="144"/>
        <v/>
      </c>
      <c r="D684" s="146" t="str">
        <f t="shared" si="145"/>
        <v/>
      </c>
      <c r="E684" s="147"/>
      <c r="F684" s="147"/>
      <c r="G684" s="147"/>
      <c r="H684" s="148"/>
      <c r="I684" s="147"/>
      <c r="J684" s="170">
        <f t="shared" si="146"/>
        <v>0</v>
      </c>
      <c r="K684" s="168">
        <f>IF(E684&lt;&gt;"S",IF(D684&lt;&gt;"8",I684,"")," ")</f>
        <v>0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32">
        <f>SUM(L684:AC684)</f>
        <v>0</v>
      </c>
      <c r="AE684" s="132">
        <f t="shared" si="63"/>
        <v>0</v>
      </c>
      <c r="AF684" s="150">
        <f t="shared" si="64"/>
        <v>0</v>
      </c>
    </row>
    <row r="685" spans="1:32" x14ac:dyDescent="0.25">
      <c r="A685" s="151"/>
      <c r="B685" s="151"/>
      <c r="C685" s="169" t="str">
        <f t="shared" si="144"/>
        <v/>
      </c>
      <c r="D685" s="146" t="str">
        <f t="shared" si="145"/>
        <v/>
      </c>
      <c r="E685" s="147"/>
      <c r="F685" s="147"/>
      <c r="G685" s="147"/>
      <c r="H685" s="148"/>
      <c r="I685" s="147"/>
      <c r="J685" s="170">
        <f t="shared" si="146"/>
        <v>0</v>
      </c>
      <c r="K685" s="168">
        <f>IF(E685&lt;&gt;"S",IF(D685&lt;&gt;"8",I685,"")," ")</f>
        <v>0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32">
        <f>SUM(L685:AC685)</f>
        <v>0</v>
      </c>
      <c r="AE685" s="132">
        <f t="shared" si="63"/>
        <v>0</v>
      </c>
      <c r="AF685" s="150">
        <f t="shared" si="64"/>
        <v>0</v>
      </c>
    </row>
    <row r="686" spans="1:32" ht="23.25" x14ac:dyDescent="0.35">
      <c r="A686" s="309" t="s">
        <v>434</v>
      </c>
    </row>
    <row r="687" spans="1:32" ht="16.5" thickBot="1" x14ac:dyDescent="0.3">
      <c r="B687" s="162" t="s">
        <v>271</v>
      </c>
      <c r="I687" s="152">
        <f>SUM(I8:I686)</f>
        <v>71984664.080000013</v>
      </c>
      <c r="J687" s="152">
        <f>SUM(J8:J686)</f>
        <v>16788874</v>
      </c>
      <c r="K687" s="152">
        <f>SUM(K8:K686)</f>
        <v>22249750.649999999</v>
      </c>
      <c r="L687" s="308">
        <f>SUM(L8:L686)</f>
        <v>11536867.483028026</v>
      </c>
      <c r="M687" s="308">
        <f t="shared" ref="M687:AB687" si="148">SUM(M8:M686)</f>
        <v>7612687.3227640083</v>
      </c>
      <c r="N687" s="308">
        <f t="shared" si="148"/>
        <v>4406889.5425634375</v>
      </c>
      <c r="O687" s="308">
        <f t="shared" si="148"/>
        <v>4729358.7198001379</v>
      </c>
      <c r="P687" s="308">
        <f t="shared" si="148"/>
        <v>4660236.3618443981</v>
      </c>
      <c r="Q687" s="308">
        <f t="shared" si="148"/>
        <v>0</v>
      </c>
      <c r="R687" s="308">
        <f t="shared" si="148"/>
        <v>0</v>
      </c>
      <c r="S687" s="308">
        <f t="shared" si="148"/>
        <v>0</v>
      </c>
      <c r="T687" s="308">
        <f t="shared" si="148"/>
        <v>0</v>
      </c>
      <c r="U687" s="308">
        <f t="shared" si="148"/>
        <v>0</v>
      </c>
      <c r="V687" s="308">
        <f t="shared" si="148"/>
        <v>0</v>
      </c>
      <c r="W687" s="308">
        <f t="shared" si="148"/>
        <v>0</v>
      </c>
      <c r="X687" s="308">
        <f t="shared" si="148"/>
        <v>0</v>
      </c>
      <c r="Y687" s="308">
        <f t="shared" si="148"/>
        <v>0</v>
      </c>
      <c r="Z687" s="308">
        <f t="shared" si="148"/>
        <v>0</v>
      </c>
      <c r="AA687" s="308">
        <f t="shared" si="148"/>
        <v>0</v>
      </c>
      <c r="AB687" s="308">
        <f t="shared" si="148"/>
        <v>0</v>
      </c>
      <c r="AC687" s="152"/>
      <c r="AD687" s="152">
        <f>SUM(AD8:AD686)</f>
        <v>32946039.43</v>
      </c>
      <c r="AE687" s="152">
        <f>SUM(AE8:AE686)</f>
        <v>71984664.080000013</v>
      </c>
      <c r="AF687" s="152">
        <f>SUM(AF8:AF686)</f>
        <v>0</v>
      </c>
    </row>
    <row r="689" spans="1:32" x14ac:dyDescent="0.25">
      <c r="A689" s="133" t="s">
        <v>447</v>
      </c>
      <c r="G689" s="153"/>
      <c r="H689" s="154"/>
      <c r="I689" s="153"/>
      <c r="J689" s="153"/>
      <c r="K689" s="153"/>
    </row>
    <row r="690" spans="1:32" x14ac:dyDescent="0.25">
      <c r="A690" s="133" t="s">
        <v>273</v>
      </c>
      <c r="B690" s="145" t="s">
        <v>280</v>
      </c>
      <c r="G690" s="153"/>
      <c r="H690" s="154"/>
      <c r="I690" s="153"/>
      <c r="J690" s="155"/>
      <c r="K690" s="153"/>
    </row>
    <row r="691" spans="1:32" x14ac:dyDescent="0.25">
      <c r="B691" s="145" t="s">
        <v>429</v>
      </c>
      <c r="C691" s="167"/>
      <c r="D691" s="168"/>
      <c r="E691" s="168"/>
      <c r="G691" s="153"/>
      <c r="H691" s="154"/>
      <c r="I691" s="153"/>
      <c r="J691" s="155"/>
      <c r="K691" s="153"/>
    </row>
    <row r="692" spans="1:32" x14ac:dyDescent="0.25">
      <c r="B692" s="133" t="s">
        <v>430</v>
      </c>
      <c r="C692" s="167" t="s">
        <v>33</v>
      </c>
      <c r="D692" s="168"/>
      <c r="E692" s="168" t="s">
        <v>6</v>
      </c>
      <c r="G692" s="300" t="s">
        <v>274</v>
      </c>
      <c r="H692" s="154" t="s">
        <v>279</v>
      </c>
      <c r="I692" s="156">
        <f>1004481-160000</f>
        <v>844481</v>
      </c>
      <c r="J692" s="170">
        <f>IF(D692="8",I692,0)</f>
        <v>0</v>
      </c>
      <c r="K692" s="168">
        <f>IF(E692&lt;&gt;"S",IF(D692&lt;&gt;"8",I692,"")," ")</f>
        <v>844481</v>
      </c>
      <c r="AD692" s="132">
        <f t="shared" ref="AD692:AD700" si="149">SUM(L692:AC692)</f>
        <v>0</v>
      </c>
      <c r="AE692" s="132">
        <f t="shared" ref="AE692:AE700" si="150">SUM(J692,K692,AD692)</f>
        <v>844481</v>
      </c>
      <c r="AF692" s="150">
        <f t="shared" ref="AF692:AF700" si="151">+I692-AE692</f>
        <v>0</v>
      </c>
    </row>
    <row r="693" spans="1:32" x14ac:dyDescent="0.25">
      <c r="B693" s="133" t="s">
        <v>71</v>
      </c>
      <c r="C693" s="167" t="s">
        <v>33</v>
      </c>
      <c r="D693" s="168"/>
      <c r="E693" s="168" t="s">
        <v>5</v>
      </c>
      <c r="G693" s="300" t="s">
        <v>274</v>
      </c>
      <c r="H693" s="154" t="s">
        <v>279</v>
      </c>
      <c r="I693" s="157"/>
      <c r="J693" s="170">
        <f>IF(D693="8",I693,0)</f>
        <v>0</v>
      </c>
      <c r="K693" s="168">
        <f>IF(E693&lt;&gt;"S",IF(D693&lt;&gt;"8",I693,"")," ")</f>
        <v>0</v>
      </c>
      <c r="AD693" s="132">
        <f>SUM(L693:AC693)</f>
        <v>0</v>
      </c>
      <c r="AE693" s="132">
        <f t="shared" si="150"/>
        <v>0</v>
      </c>
      <c r="AF693" s="150">
        <f>+I693-AE693</f>
        <v>0</v>
      </c>
    </row>
    <row r="694" spans="1:32" x14ac:dyDescent="0.25">
      <c r="B694" s="145" t="s">
        <v>278</v>
      </c>
      <c r="C694" s="167"/>
      <c r="D694" s="168"/>
      <c r="E694" s="168"/>
      <c r="H694" s="154"/>
      <c r="I694" s="158"/>
      <c r="J694" s="170"/>
      <c r="K694" s="168"/>
      <c r="AD694" s="132">
        <f>SUM(L694:AC694)</f>
        <v>0</v>
      </c>
      <c r="AE694" s="132">
        <f t="shared" si="150"/>
        <v>0</v>
      </c>
      <c r="AF694" s="150">
        <f>+I694-AE694</f>
        <v>0</v>
      </c>
    </row>
    <row r="695" spans="1:32" x14ac:dyDescent="0.25">
      <c r="B695" s="133" t="s">
        <v>430</v>
      </c>
      <c r="C695" s="167" t="s">
        <v>33</v>
      </c>
      <c r="D695" s="168"/>
      <c r="E695" s="168" t="s">
        <v>6</v>
      </c>
      <c r="G695" s="300" t="s">
        <v>274</v>
      </c>
      <c r="H695" s="154" t="s">
        <v>34</v>
      </c>
      <c r="I695" s="156">
        <v>160000</v>
      </c>
      <c r="J695" s="170">
        <f>IF(D695="8",I695,0)</f>
        <v>0</v>
      </c>
      <c r="K695" s="168">
        <f>IF(E695&lt;&gt;"S",IF(D695&lt;&gt;"8",I695,"")," ")</f>
        <v>160000</v>
      </c>
      <c r="AD695" s="132">
        <f>SUM(L695:AC695)</f>
        <v>0</v>
      </c>
      <c r="AE695" s="132">
        <f t="shared" si="150"/>
        <v>160000</v>
      </c>
      <c r="AF695" s="150">
        <f>+I695-AE695</f>
        <v>0</v>
      </c>
    </row>
    <row r="696" spans="1:32" x14ac:dyDescent="0.25">
      <c r="B696" s="133" t="s">
        <v>71</v>
      </c>
      <c r="C696" s="167" t="s">
        <v>33</v>
      </c>
      <c r="D696" s="168"/>
      <c r="E696" s="168" t="s">
        <v>5</v>
      </c>
      <c r="G696" s="300" t="s">
        <v>274</v>
      </c>
      <c r="H696" s="154" t="s">
        <v>34</v>
      </c>
      <c r="I696" s="157">
        <v>0</v>
      </c>
      <c r="J696" s="170">
        <f>IF(D696="8",I696,0)</f>
        <v>0</v>
      </c>
      <c r="K696" s="168">
        <f>IF(E696&lt;&gt;"S",IF(D696&lt;&gt;"8",I696,"")," ")</f>
        <v>0</v>
      </c>
      <c r="AD696" s="132">
        <f>SUM(L696:AC696)</f>
        <v>0</v>
      </c>
      <c r="AE696" s="132">
        <f t="shared" si="150"/>
        <v>0</v>
      </c>
      <c r="AF696" s="150">
        <f>+I696-AE696</f>
        <v>0</v>
      </c>
    </row>
    <row r="697" spans="1:32" x14ac:dyDescent="0.25">
      <c r="C697" s="167"/>
      <c r="D697" s="168"/>
      <c r="E697" s="168"/>
      <c r="H697" s="154"/>
      <c r="J697" s="168"/>
      <c r="K697" s="168"/>
      <c r="AD697" s="132">
        <f t="shared" si="149"/>
        <v>0</v>
      </c>
      <c r="AE697" s="132">
        <f t="shared" si="150"/>
        <v>0</v>
      </c>
      <c r="AF697" s="150">
        <f t="shared" si="151"/>
        <v>0</v>
      </c>
    </row>
    <row r="698" spans="1:32" x14ac:dyDescent="0.25">
      <c r="A698" s="133" t="s">
        <v>438</v>
      </c>
      <c r="B698" s="145" t="s">
        <v>277</v>
      </c>
      <c r="C698" s="167"/>
      <c r="D698" s="168"/>
      <c r="E698" s="168"/>
      <c r="H698" s="154"/>
      <c r="J698" s="168"/>
      <c r="K698" s="168"/>
      <c r="AD698" s="132">
        <f t="shared" si="149"/>
        <v>0</v>
      </c>
      <c r="AE698" s="132">
        <f t="shared" si="150"/>
        <v>0</v>
      </c>
      <c r="AF698" s="150">
        <f t="shared" si="151"/>
        <v>0</v>
      </c>
    </row>
    <row r="699" spans="1:32" x14ac:dyDescent="0.25">
      <c r="B699" s="133" t="s">
        <v>275</v>
      </c>
      <c r="C699" s="167" t="s">
        <v>35</v>
      </c>
      <c r="D699" s="168"/>
      <c r="E699" s="168" t="s">
        <v>15</v>
      </c>
      <c r="G699" s="300" t="s">
        <v>274</v>
      </c>
      <c r="H699" s="154" t="s">
        <v>279</v>
      </c>
      <c r="I699" s="156"/>
      <c r="J699" s="170">
        <f>IF(D699="8",I699,0)</f>
        <v>0</v>
      </c>
      <c r="K699" s="168">
        <f>IF(E699&lt;&gt;"S",IF(D699&lt;&gt;"8",I699,"")," ")</f>
        <v>0</v>
      </c>
      <c r="AD699" s="132">
        <f t="shared" si="149"/>
        <v>0</v>
      </c>
      <c r="AE699" s="132">
        <f t="shared" si="150"/>
        <v>0</v>
      </c>
      <c r="AF699" s="150">
        <f t="shared" si="151"/>
        <v>0</v>
      </c>
    </row>
    <row r="700" spans="1:32" x14ac:dyDescent="0.25">
      <c r="B700" s="133" t="s">
        <v>276</v>
      </c>
      <c r="C700" s="167" t="s">
        <v>35</v>
      </c>
      <c r="D700" s="168"/>
      <c r="E700" s="168" t="s">
        <v>5</v>
      </c>
      <c r="G700" s="300" t="s">
        <v>274</v>
      </c>
      <c r="H700" s="154" t="s">
        <v>279</v>
      </c>
      <c r="I700" s="157"/>
      <c r="J700" s="170">
        <f>IF(D700="8",I700,0)</f>
        <v>0</v>
      </c>
      <c r="K700" s="168">
        <f>IF(E700&lt;&gt;"S",IF(D700&lt;&gt;"8",I700,"")," ")</f>
        <v>0</v>
      </c>
      <c r="AD700" s="132">
        <f t="shared" si="149"/>
        <v>0</v>
      </c>
      <c r="AE700" s="132">
        <f t="shared" si="150"/>
        <v>0</v>
      </c>
      <c r="AF700" s="150">
        <f t="shared" si="151"/>
        <v>0</v>
      </c>
    </row>
    <row r="701" spans="1:32" x14ac:dyDescent="0.25">
      <c r="J701" s="168"/>
      <c r="K701" s="168"/>
    </row>
    <row r="703" spans="1:32" ht="16.5" thickBot="1" x14ac:dyDescent="0.3">
      <c r="B703" s="162" t="s">
        <v>4</v>
      </c>
      <c r="I703" s="159">
        <f>SUM(I687:I702)</f>
        <v>72989145.080000013</v>
      </c>
      <c r="J703" s="160">
        <f t="shared" ref="J703:AF703" si="152">SUM(J687:J702)</f>
        <v>16788874</v>
      </c>
      <c r="K703" s="160">
        <f t="shared" si="152"/>
        <v>23254231.649999999</v>
      </c>
      <c r="L703" s="160">
        <f t="shared" si="152"/>
        <v>11536867.483028026</v>
      </c>
      <c r="M703" s="160">
        <f t="shared" si="152"/>
        <v>7612687.3227640083</v>
      </c>
      <c r="N703" s="160">
        <f t="shared" si="152"/>
        <v>4406889.5425634375</v>
      </c>
      <c r="O703" s="160">
        <f t="shared" si="152"/>
        <v>4729358.7198001379</v>
      </c>
      <c r="P703" s="160">
        <f>SUM(P687:P702)</f>
        <v>4660236.3618443981</v>
      </c>
      <c r="Q703" s="160">
        <f t="shared" si="152"/>
        <v>0</v>
      </c>
      <c r="R703" s="160">
        <f t="shared" si="152"/>
        <v>0</v>
      </c>
      <c r="S703" s="160">
        <f t="shared" si="152"/>
        <v>0</v>
      </c>
      <c r="T703" s="160">
        <f t="shared" si="152"/>
        <v>0</v>
      </c>
      <c r="U703" s="160">
        <f t="shared" si="152"/>
        <v>0</v>
      </c>
      <c r="V703" s="160">
        <f t="shared" si="152"/>
        <v>0</v>
      </c>
      <c r="W703" s="160">
        <f t="shared" si="152"/>
        <v>0</v>
      </c>
      <c r="X703" s="160">
        <f t="shared" si="152"/>
        <v>0</v>
      </c>
      <c r="Y703" s="160">
        <f t="shared" si="152"/>
        <v>0</v>
      </c>
      <c r="Z703" s="160">
        <f t="shared" si="152"/>
        <v>0</v>
      </c>
      <c r="AA703" s="160">
        <f t="shared" si="152"/>
        <v>0</v>
      </c>
      <c r="AB703" s="160">
        <f t="shared" si="152"/>
        <v>0</v>
      </c>
      <c r="AC703" s="160"/>
      <c r="AD703" s="160">
        <f t="shared" si="152"/>
        <v>32946039.43</v>
      </c>
      <c r="AE703" s="160">
        <f t="shared" si="152"/>
        <v>72989145.080000013</v>
      </c>
      <c r="AF703" s="160">
        <f t="shared" si="152"/>
        <v>0</v>
      </c>
    </row>
    <row r="704" spans="1:32" ht="16.5" thickTop="1" x14ac:dyDescent="0.25"/>
    <row r="705" spans="9:9" x14ac:dyDescent="0.25">
      <c r="I705" s="132" t="s">
        <v>437</v>
      </c>
    </row>
    <row r="800" spans="1:1" x14ac:dyDescent="0.25">
      <c r="A800" s="133" t="s">
        <v>231</v>
      </c>
    </row>
    <row r="809" spans="1:1" x14ac:dyDescent="0.25">
      <c r="A809" s="133" t="s">
        <v>233</v>
      </c>
    </row>
    <row r="811" spans="1:1" x14ac:dyDescent="0.25">
      <c r="A811" s="133" t="s">
        <v>232</v>
      </c>
    </row>
    <row r="813" spans="1:1" x14ac:dyDescent="0.25">
      <c r="A813" s="133" t="s">
        <v>234</v>
      </c>
    </row>
    <row r="814" spans="1:1" x14ac:dyDescent="0.25">
      <c r="A814" s="133" t="s">
        <v>235</v>
      </c>
    </row>
    <row r="815" spans="1:1" x14ac:dyDescent="0.25">
      <c r="A815" s="133" t="s">
        <v>236</v>
      </c>
    </row>
    <row r="816" spans="1:1" x14ac:dyDescent="0.25">
      <c r="A816" s="133" t="s">
        <v>237</v>
      </c>
    </row>
    <row r="817" spans="1:31" s="162" customFormat="1" ht="16.5" thickBot="1" x14ac:dyDescent="0.3">
      <c r="A817" s="161" t="s">
        <v>69</v>
      </c>
      <c r="C817" s="163"/>
      <c r="D817" s="164"/>
      <c r="E817" s="164"/>
      <c r="F817" s="164"/>
      <c r="G817" s="164"/>
      <c r="H817" s="165"/>
      <c r="I817" s="166"/>
      <c r="J817" s="164"/>
      <c r="K817" s="164"/>
      <c r="L817" s="164"/>
      <c r="M817" s="164"/>
      <c r="N817" s="164"/>
      <c r="O817" s="164"/>
      <c r="P817" s="164"/>
      <c r="Q817" s="164"/>
      <c r="R817" s="164"/>
      <c r="S817" s="164"/>
      <c r="T817" s="164"/>
      <c r="U817" s="164"/>
      <c r="V817" s="164"/>
      <c r="W817" s="164"/>
      <c r="X817" s="164"/>
      <c r="Y817" s="164"/>
      <c r="Z817" s="164"/>
      <c r="AA817" s="164"/>
      <c r="AB817" s="164"/>
      <c r="AC817" s="164"/>
      <c r="AD817" s="164"/>
      <c r="AE817" s="164"/>
    </row>
    <row r="818" spans="1:31" ht="16.5" thickTop="1" x14ac:dyDescent="0.25"/>
  </sheetData>
  <sortState ref="A8:P682">
    <sortCondition ref="A8:A682"/>
  </sortState>
  <mergeCells count="9">
    <mergeCell ref="AG6:AJ7"/>
    <mergeCell ref="A1:K1"/>
    <mergeCell ref="A6:B6"/>
    <mergeCell ref="E6:H6"/>
    <mergeCell ref="F2:G2"/>
    <mergeCell ref="L2:AD2"/>
    <mergeCell ref="L3:AD3"/>
    <mergeCell ref="F3:G3"/>
    <mergeCell ref="A2:A3"/>
  </mergeCells>
  <phoneticPr fontId="26" type="noConversion"/>
  <dataValidations count="4">
    <dataValidation type="list" allowBlank="1" showInputMessage="1" showErrorMessage="1" errorTitle="General Category" error="Please check code." sqref="E8:E685" xr:uid="{8995C725-9D2C-4B73-BA7A-0A0089426715}">
      <formula1>General</formula1>
    </dataValidation>
    <dataValidation type="list" allowBlank="1" showInputMessage="1" showErrorMessage="1" errorTitle="Object" error="Only for School-Level codes. Select from H1-H4 codes." sqref="F8:F685" xr:uid="{C199BABC-A772-4E48-BC02-9A97DDF239EA}">
      <formula1>Object</formula1>
    </dataValidation>
    <dataValidation type="list" allowBlank="1" showInputMessage="1" showErrorMessage="1" errorTitle="Purpose" error="For School Level codes only.  Please select from approved list." sqref="G8:G685" xr:uid="{9757F3E4-7B57-4121-8EED-3DE368195D5A}">
      <formula1>Purpose</formula1>
    </dataValidation>
    <dataValidation type="list" allowBlank="1" showInputMessage="1" showErrorMessage="1" errorTitle="Funding" error="Please select SL for State/Local funding or F for federal funding,_x000a_" sqref="H8:H685" xr:uid="{54C3E47E-ED88-4B51-B146-B56DA859CCA6}">
      <formula1>Funding</formula1>
    </dataValidation>
  </dataValidations>
  <printOptions horizontalCentered="1" verticalCentered="1"/>
  <pageMargins left="0" right="0" top="0.25" bottom="0.25" header="0.3" footer="0.3"/>
  <pageSetup paperSize="5" scale="3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E128-37F3-4E37-ACBE-C1E9A2A52964}">
  <sheetPr>
    <tabColor rgb="FFFFFF00"/>
    <pageSetUpPr fitToPage="1"/>
  </sheetPr>
  <dimension ref="A1:AB54"/>
  <sheetViews>
    <sheetView workbookViewId="0">
      <selection activeCell="H18" sqref="H18"/>
    </sheetView>
  </sheetViews>
  <sheetFormatPr defaultColWidth="16.42578125" defaultRowHeight="15" x14ac:dyDescent="0.25"/>
  <cols>
    <col min="5" max="5" width="18.28515625" customWidth="1"/>
    <col min="8" max="24" width="16.42578125" style="182"/>
  </cols>
  <sheetData>
    <row r="1" spans="1:28" ht="24" thickBot="1" x14ac:dyDescent="0.4">
      <c r="A1" s="339" t="s">
        <v>425</v>
      </c>
      <c r="B1" s="340"/>
      <c r="C1" s="340"/>
      <c r="D1" s="340"/>
      <c r="E1" s="340"/>
      <c r="F1" s="340"/>
      <c r="G1" s="341"/>
    </row>
    <row r="2" spans="1:28" ht="54" x14ac:dyDescent="0.4">
      <c r="A2" s="129" t="s">
        <v>426</v>
      </c>
      <c r="F2" s="74" t="s">
        <v>264</v>
      </c>
      <c r="G2" s="74" t="s">
        <v>265</v>
      </c>
      <c r="H2" s="293" t="str">
        <f>'Data Form'!L5</f>
        <v>High School</v>
      </c>
      <c r="I2" s="293" t="str">
        <f>'Data Form'!M5</f>
        <v>Middle School</v>
      </c>
      <c r="J2" s="293" t="str">
        <f>'Data Form'!N5</f>
        <v>Charlton Heights</v>
      </c>
      <c r="K2" s="293" t="str">
        <f>'Data Form'!O5</f>
        <v>Pashley</v>
      </c>
      <c r="L2" s="293" t="str">
        <f>'Data Form'!P5</f>
        <v>Stevens</v>
      </c>
      <c r="M2" s="293" t="str">
        <f>'Data Form'!Q5</f>
        <v>School #6</v>
      </c>
      <c r="N2" s="293" t="str">
        <f>'Data Form'!R5</f>
        <v>School #7</v>
      </c>
      <c r="O2" s="293" t="str">
        <f>'Data Form'!S5</f>
        <v>School #8</v>
      </c>
      <c r="P2" s="293" t="str">
        <f>'Data Form'!T5</f>
        <v>School #9</v>
      </c>
      <c r="Q2" s="293" t="str">
        <f>'Data Form'!U5</f>
        <v>School #10</v>
      </c>
      <c r="R2" s="293" t="str">
        <f>'Data Form'!V5</f>
        <v>School #11</v>
      </c>
      <c r="S2" s="293" t="str">
        <f>'Data Form'!W5</f>
        <v>School #12</v>
      </c>
      <c r="T2" s="293" t="str">
        <f>'Data Form'!X5</f>
        <v>School #13</v>
      </c>
      <c r="U2" s="293" t="str">
        <f>'Data Form'!Y5</f>
        <v>School #14</v>
      </c>
      <c r="V2" s="293" t="str">
        <f>'Data Form'!Z5</f>
        <v>School #15</v>
      </c>
      <c r="W2" s="293" t="str">
        <f>'Data Form'!AA5</f>
        <v>School #16</v>
      </c>
      <c r="X2" s="293" t="str">
        <f>'Data Form'!AB5</f>
        <v>School #17</v>
      </c>
      <c r="Y2" s="71"/>
      <c r="Z2" s="72" t="s">
        <v>21</v>
      </c>
      <c r="AA2" s="73" t="s">
        <v>20</v>
      </c>
      <c r="AB2" s="70" t="s">
        <v>270</v>
      </c>
    </row>
    <row r="3" spans="1:28" ht="15.75" thickBot="1" x14ac:dyDescent="0.3">
      <c r="F3" s="3"/>
    </row>
    <row r="4" spans="1:28" x14ac:dyDescent="0.25">
      <c r="A4" s="4" t="s">
        <v>22</v>
      </c>
      <c r="B4" s="5"/>
      <c r="C4" s="6"/>
      <c r="D4" s="7"/>
      <c r="E4" s="8"/>
      <c r="F4" s="8"/>
      <c r="G4" s="8"/>
      <c r="H4" s="294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9"/>
      <c r="Z4" s="9"/>
      <c r="AA4" s="10"/>
    </row>
    <row r="5" spans="1:28" x14ac:dyDescent="0.25">
      <c r="A5" s="11" t="s">
        <v>24</v>
      </c>
      <c r="B5" s="78" t="s">
        <v>316</v>
      </c>
      <c r="C5" s="13"/>
      <c r="D5" s="12"/>
      <c r="E5" s="14">
        <f>SUMIF(('Data Form'!$D$6:$D$685),"1",('Data Form'!I6:I685))</f>
        <v>37543657.43</v>
      </c>
      <c r="F5" s="14">
        <f>SUMIF(('Data Form'!$D$6:$D$685),"1",('Data Form'!J6:J685))</f>
        <v>0</v>
      </c>
      <c r="G5" s="14">
        <f>SUMIF(('Data Form'!$D$6:$D$685),"1",('Data Form'!K6:K685))</f>
        <v>7455286</v>
      </c>
      <c r="H5" s="296">
        <f>SUMIF(('Data Form'!$D$6:$D$685),"1",('Data Form'!L6:L685))</f>
        <v>10114809.016362149</v>
      </c>
      <c r="I5" s="296">
        <f>SUMIF(('Data Form'!$D$6:$D$685),"1",('Data Form'!M6:M685))</f>
        <v>7152619.2810107181</v>
      </c>
      <c r="J5" s="296">
        <f>SUMIF(('Data Form'!$D$6:$D$685),"1",('Data Form'!N6:N685))</f>
        <v>4060337.4871376171</v>
      </c>
      <c r="K5" s="296">
        <f>SUMIF(('Data Form'!$D$6:$D$685),"1",('Data Form'!O6:O685))</f>
        <v>4369700.0260767564</v>
      </c>
      <c r="L5" s="296">
        <f>SUMIF(('Data Form'!$D$6:$D$685),"1",('Data Form'!P6:P685))</f>
        <v>4390905.6194127621</v>
      </c>
      <c r="M5" s="296">
        <f>SUMIF(('Data Form'!$D$6:$D$685),"1",('Data Form'!Q6:Q685))</f>
        <v>0</v>
      </c>
      <c r="N5" s="296">
        <f>SUMIF(('Data Form'!$D$6:$D$685),"1",('Data Form'!R6:R685))</f>
        <v>0</v>
      </c>
      <c r="O5" s="296">
        <f>SUMIF(('Data Form'!$D$6:$D$685),"1",('Data Form'!S6:S685))</f>
        <v>0</v>
      </c>
      <c r="P5" s="296">
        <f>SUMIF(('Data Form'!$D$6:$D$685),"1",('Data Form'!T6:T685))</f>
        <v>0</v>
      </c>
      <c r="Q5" s="296">
        <f>SUMIF(('Data Form'!$D$6:$D$685),"1",('Data Form'!U6:U685))</f>
        <v>0</v>
      </c>
      <c r="R5" s="296">
        <f>SUMIF(('Data Form'!$D$6:$D$685),"1",('Data Form'!V6:V685))</f>
        <v>0</v>
      </c>
      <c r="S5" s="296">
        <f>SUMIF(('Data Form'!$D$6:$D$685),"1",('Data Form'!W6:W685))</f>
        <v>0</v>
      </c>
      <c r="T5" s="296">
        <f>SUMIF(('Data Form'!$D$6:$D$685),"1",('Data Form'!X6:X685))</f>
        <v>0</v>
      </c>
      <c r="U5" s="296">
        <f>SUMIF(('Data Form'!$D$6:$D$685),"1",('Data Form'!Y6:Y685))</f>
        <v>0</v>
      </c>
      <c r="V5" s="296">
        <f>SUMIF(('Data Form'!$D$6:$D$685),"1",('Data Form'!Z6:Z685))</f>
        <v>0</v>
      </c>
      <c r="W5" s="296">
        <f>SUMIF(('Data Form'!$D$6:$D$685),"1",('Data Form'!AA6:AA685))</f>
        <v>0</v>
      </c>
      <c r="X5" s="296">
        <f>SUMIF(('Data Form'!$D$6:$D$685),"1",('Data Form'!AB6:AB685))</f>
        <v>0</v>
      </c>
      <c r="Y5" s="14"/>
      <c r="Z5" s="14">
        <f>SUM(H5:Y5)</f>
        <v>30088371.43</v>
      </c>
      <c r="AA5" s="15">
        <f>+Z5+G5</f>
        <v>37543657.43</v>
      </c>
      <c r="AB5" s="2">
        <f>E5-AA5</f>
        <v>0</v>
      </c>
    </row>
    <row r="6" spans="1:28" x14ac:dyDescent="0.25">
      <c r="A6" s="16"/>
      <c r="B6" s="78"/>
      <c r="C6" s="13"/>
      <c r="D6" s="12"/>
      <c r="E6" s="14"/>
      <c r="F6" s="14"/>
      <c r="G6" s="14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14"/>
      <c r="Z6" s="17"/>
      <c r="AA6" s="18"/>
    </row>
    <row r="7" spans="1:28" ht="15.75" thickBot="1" x14ac:dyDescent="0.3">
      <c r="A7" s="11" t="s">
        <v>25</v>
      </c>
      <c r="B7" s="78" t="s">
        <v>253</v>
      </c>
      <c r="C7" s="13"/>
      <c r="D7" s="12"/>
      <c r="E7" s="14">
        <f>SUMIF(('Data Form'!$D$6:$D$685),"8",('Data Form'!I6:I685))</f>
        <v>16788874</v>
      </c>
      <c r="F7" s="14"/>
      <c r="G7" s="343" t="s">
        <v>451</v>
      </c>
      <c r="H7" s="344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14"/>
      <c r="Z7" s="17"/>
      <c r="AA7" s="18"/>
    </row>
    <row r="8" spans="1:28" ht="15.75" customHeight="1" thickBot="1" x14ac:dyDescent="0.3">
      <c r="A8" s="26" t="s">
        <v>30</v>
      </c>
      <c r="B8" s="78" t="s">
        <v>254</v>
      </c>
      <c r="C8" s="13"/>
      <c r="D8" s="28" t="s">
        <v>32</v>
      </c>
      <c r="E8" s="179">
        <v>1650000</v>
      </c>
      <c r="F8" s="17"/>
      <c r="G8" s="344"/>
      <c r="H8" s="344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17"/>
      <c r="Z8" s="17"/>
      <c r="AA8" s="18"/>
    </row>
    <row r="9" spans="1:28" ht="15.75" thickBot="1" x14ac:dyDescent="0.3">
      <c r="A9" s="16" t="s">
        <v>31</v>
      </c>
      <c r="B9" s="78" t="s">
        <v>255</v>
      </c>
      <c r="C9" s="13"/>
      <c r="D9" s="12"/>
      <c r="E9" s="20">
        <f>+E7-E8</f>
        <v>15138874</v>
      </c>
      <c r="F9" s="17"/>
      <c r="G9" s="344"/>
      <c r="H9" s="344"/>
      <c r="I9" s="179">
        <v>0</v>
      </c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17"/>
      <c r="Z9" s="17"/>
      <c r="AA9" s="18"/>
    </row>
    <row r="10" spans="1:28" ht="15.75" thickBot="1" x14ac:dyDescent="0.3">
      <c r="A10" s="16"/>
      <c r="B10" s="78"/>
      <c r="C10" s="13"/>
      <c r="D10" s="12"/>
      <c r="E10" s="17"/>
      <c r="F10" s="17"/>
      <c r="G10" s="1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17"/>
      <c r="Z10" s="17"/>
      <c r="AA10" s="18"/>
    </row>
    <row r="11" spans="1:28" ht="15.75" thickBot="1" x14ac:dyDescent="0.3">
      <c r="A11" s="11" t="s">
        <v>26</v>
      </c>
      <c r="B11" s="78" t="s">
        <v>317</v>
      </c>
      <c r="C11" s="13"/>
      <c r="D11" s="12"/>
      <c r="E11" s="180">
        <f>+E9/E5</f>
        <v>0.4032338625565815</v>
      </c>
      <c r="F11" s="19"/>
      <c r="G11" s="1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17"/>
      <c r="Z11" s="17"/>
      <c r="AA11" s="18"/>
    </row>
    <row r="12" spans="1:28" x14ac:dyDescent="0.25">
      <c r="A12" s="16"/>
      <c r="B12" s="12"/>
      <c r="C12" s="13"/>
      <c r="D12" s="12"/>
      <c r="E12" s="17"/>
      <c r="F12" s="17"/>
      <c r="G12" s="1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17"/>
      <c r="Z12" s="17"/>
      <c r="AA12" s="18"/>
    </row>
    <row r="13" spans="1:28" x14ac:dyDescent="0.25">
      <c r="A13" s="16" t="s">
        <v>27</v>
      </c>
      <c r="B13" s="12"/>
      <c r="C13" s="13"/>
      <c r="D13" s="12"/>
      <c r="E13" s="14">
        <f>SUM(G13:X13)</f>
        <v>15138874</v>
      </c>
      <c r="F13" s="17"/>
      <c r="G13" s="20">
        <f>+G5*$E$11</f>
        <v>3006223.7702440061</v>
      </c>
      <c r="H13" s="298">
        <f t="shared" ref="H13:X13" si="0">+H5*$E$11</f>
        <v>4078633.5086898464</v>
      </c>
      <c r="I13" s="298">
        <f t="shared" si="0"/>
        <v>2884178.3000786309</v>
      </c>
      <c r="J13" s="298">
        <f t="shared" si="0"/>
        <v>1637265.5682217854</v>
      </c>
      <c r="K13" s="298">
        <f t="shared" si="0"/>
        <v>1762011.0197285253</v>
      </c>
      <c r="L13" s="298">
        <f t="shared" si="0"/>
        <v>1770561.8330372071</v>
      </c>
      <c r="M13" s="298">
        <f t="shared" si="0"/>
        <v>0</v>
      </c>
      <c r="N13" s="298">
        <f t="shared" si="0"/>
        <v>0</v>
      </c>
      <c r="O13" s="298">
        <f t="shared" si="0"/>
        <v>0</v>
      </c>
      <c r="P13" s="298">
        <f t="shared" si="0"/>
        <v>0</v>
      </c>
      <c r="Q13" s="298">
        <f t="shared" si="0"/>
        <v>0</v>
      </c>
      <c r="R13" s="298">
        <f t="shared" si="0"/>
        <v>0</v>
      </c>
      <c r="S13" s="298">
        <f t="shared" si="0"/>
        <v>0</v>
      </c>
      <c r="T13" s="298">
        <f t="shared" si="0"/>
        <v>0</v>
      </c>
      <c r="U13" s="298">
        <f t="shared" si="0"/>
        <v>0</v>
      </c>
      <c r="V13" s="298">
        <f t="shared" si="0"/>
        <v>0</v>
      </c>
      <c r="W13" s="298">
        <f t="shared" si="0"/>
        <v>0</v>
      </c>
      <c r="X13" s="298">
        <f t="shared" si="0"/>
        <v>0</v>
      </c>
      <c r="Y13" s="20"/>
      <c r="Z13" s="14">
        <f>SUM(H13:Y13)</f>
        <v>12132650.229755994</v>
      </c>
      <c r="AA13" s="15">
        <f>+Z13+G13</f>
        <v>15138874</v>
      </c>
      <c r="AB13" s="2">
        <f>E13-AA13</f>
        <v>0</v>
      </c>
    </row>
    <row r="14" spans="1:28" ht="15.75" thickBot="1" x14ac:dyDescent="0.3">
      <c r="A14" s="21"/>
      <c r="B14" s="22"/>
      <c r="C14" s="23"/>
      <c r="D14" s="22"/>
      <c r="E14" s="24"/>
      <c r="F14" s="24"/>
      <c r="G14" s="24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4"/>
      <c r="Z14" s="24"/>
      <c r="AA14" s="25"/>
    </row>
    <row r="16" spans="1:28" x14ac:dyDescent="0.25">
      <c r="B16" s="128"/>
    </row>
    <row r="17" spans="5:28" x14ac:dyDescent="0.25">
      <c r="AA17" s="342" t="s">
        <v>366</v>
      </c>
      <c r="AB17" s="342"/>
    </row>
    <row r="18" spans="5:28" x14ac:dyDescent="0.25">
      <c r="Z18" s="2">
        <f>'Data Form'!AD703</f>
        <v>32946039.43</v>
      </c>
      <c r="AA18" s="342" t="s">
        <v>367</v>
      </c>
      <c r="AB18" s="342"/>
    </row>
    <row r="19" spans="5:28" x14ac:dyDescent="0.25">
      <c r="Z19" s="2">
        <f>Z13</f>
        <v>12132650.229755994</v>
      </c>
      <c r="AA19" s="342" t="s">
        <v>368</v>
      </c>
      <c r="AB19" s="342"/>
    </row>
    <row r="20" spans="5:28" ht="15.75" thickBot="1" x14ac:dyDescent="0.3">
      <c r="Z20" s="76">
        <f>SUM(Z18:Z19)</f>
        <v>45078689.65975599</v>
      </c>
      <c r="AA20" s="342" t="s">
        <v>380</v>
      </c>
      <c r="AB20" s="342"/>
    </row>
    <row r="21" spans="5:28" ht="15.75" hidden="1" thickTop="1" x14ac:dyDescent="0.25">
      <c r="E21" s="301" t="s">
        <v>439</v>
      </c>
      <c r="F21" s="301"/>
      <c r="G21" s="301"/>
      <c r="H21" s="301"/>
      <c r="I21" s="301"/>
    </row>
    <row r="22" spans="5:28" hidden="1" x14ac:dyDescent="0.25">
      <c r="E22" s="301" t="s">
        <v>442</v>
      </c>
      <c r="F22" s="301"/>
      <c r="G22" s="301" t="s">
        <v>443</v>
      </c>
      <c r="H22" s="301" t="s">
        <v>444</v>
      </c>
      <c r="I22" s="301" t="s">
        <v>445</v>
      </c>
    </row>
    <row r="23" spans="5:28" hidden="1" x14ac:dyDescent="0.25">
      <c r="E23" s="301" t="s">
        <v>5</v>
      </c>
      <c r="F23" s="301"/>
      <c r="G23" s="301" t="s">
        <v>319</v>
      </c>
      <c r="H23" s="301" t="s">
        <v>325</v>
      </c>
      <c r="I23" s="301" t="s">
        <v>279</v>
      </c>
    </row>
    <row r="24" spans="5:28" hidden="1" x14ac:dyDescent="0.25">
      <c r="E24" s="301" t="s">
        <v>15</v>
      </c>
      <c r="F24" s="301"/>
      <c r="G24" s="301" t="s">
        <v>320</v>
      </c>
      <c r="H24" s="301" t="s">
        <v>326</v>
      </c>
      <c r="I24" s="301" t="s">
        <v>34</v>
      </c>
    </row>
    <row r="25" spans="5:28" hidden="1" x14ac:dyDescent="0.25">
      <c r="E25" s="301" t="s">
        <v>6</v>
      </c>
      <c r="F25" s="301"/>
      <c r="G25" s="301" t="s">
        <v>321</v>
      </c>
      <c r="H25" s="301" t="s">
        <v>327</v>
      </c>
      <c r="I25" s="301"/>
    </row>
    <row r="26" spans="5:28" hidden="1" x14ac:dyDescent="0.25">
      <c r="E26" s="301" t="s">
        <v>240</v>
      </c>
      <c r="F26" s="301"/>
      <c r="G26" s="301" t="s">
        <v>322</v>
      </c>
      <c r="H26" s="301" t="s">
        <v>328</v>
      </c>
      <c r="I26" s="301"/>
    </row>
    <row r="27" spans="5:28" hidden="1" x14ac:dyDescent="0.25">
      <c r="E27" s="301" t="s">
        <v>241</v>
      </c>
      <c r="F27" s="301"/>
      <c r="G27" s="301" t="s">
        <v>323</v>
      </c>
      <c r="H27" s="301" t="s">
        <v>36</v>
      </c>
      <c r="I27" s="301"/>
    </row>
    <row r="28" spans="5:28" hidden="1" x14ac:dyDescent="0.25">
      <c r="E28" s="301" t="s">
        <v>242</v>
      </c>
      <c r="F28" s="301"/>
      <c r="G28" s="301"/>
      <c r="H28" s="301" t="s">
        <v>37</v>
      </c>
      <c r="I28" s="301"/>
    </row>
    <row r="29" spans="5:28" hidden="1" x14ac:dyDescent="0.25">
      <c r="E29" s="301" t="s">
        <v>8</v>
      </c>
      <c r="F29" s="301"/>
      <c r="G29" s="301"/>
      <c r="H29" s="301" t="s">
        <v>38</v>
      </c>
      <c r="I29" s="301"/>
    </row>
    <row r="30" spans="5:28" hidden="1" x14ac:dyDescent="0.25">
      <c r="E30" s="301" t="s">
        <v>9</v>
      </c>
      <c r="F30" s="301"/>
      <c r="G30" s="301"/>
      <c r="H30" s="301"/>
      <c r="I30" s="301"/>
    </row>
    <row r="31" spans="5:28" hidden="1" x14ac:dyDescent="0.25">
      <c r="E31" s="301" t="s">
        <v>10</v>
      </c>
      <c r="F31" s="301"/>
      <c r="G31" s="301"/>
      <c r="H31" s="301"/>
      <c r="I31" s="301"/>
    </row>
    <row r="32" spans="5:28" hidden="1" x14ac:dyDescent="0.25">
      <c r="E32" s="301" t="s">
        <v>244</v>
      </c>
      <c r="F32" s="301"/>
      <c r="G32" s="301"/>
      <c r="H32" s="301"/>
      <c r="I32" s="301"/>
    </row>
    <row r="33" spans="5:9" hidden="1" x14ac:dyDescent="0.25">
      <c r="E33" s="301" t="s">
        <v>245</v>
      </c>
      <c r="F33" s="301"/>
      <c r="G33" s="301"/>
      <c r="H33" s="301"/>
      <c r="I33" s="301"/>
    </row>
    <row r="34" spans="5:9" hidden="1" x14ac:dyDescent="0.25">
      <c r="E34" s="301" t="s">
        <v>246</v>
      </c>
      <c r="F34" s="301"/>
      <c r="G34" s="301"/>
      <c r="H34" s="301"/>
      <c r="I34" s="301"/>
    </row>
    <row r="35" spans="5:9" hidden="1" x14ac:dyDescent="0.25">
      <c r="E35" s="301" t="s">
        <v>247</v>
      </c>
      <c r="F35" s="301"/>
      <c r="G35" s="301"/>
      <c r="H35" s="301"/>
      <c r="I35" s="301"/>
    </row>
    <row r="36" spans="5:9" hidden="1" x14ac:dyDescent="0.25">
      <c r="E36" s="301" t="s">
        <v>248</v>
      </c>
      <c r="F36" s="301"/>
      <c r="G36" s="301"/>
      <c r="H36" s="301"/>
      <c r="I36" s="301"/>
    </row>
    <row r="37" spans="5:9" hidden="1" x14ac:dyDescent="0.25">
      <c r="E37" s="301" t="s">
        <v>249</v>
      </c>
      <c r="F37" s="301"/>
      <c r="G37" s="301"/>
      <c r="H37" s="301"/>
      <c r="I37" s="301"/>
    </row>
    <row r="38" spans="5:9" ht="15.75" hidden="1" thickTop="1" x14ac:dyDescent="0.25">
      <c r="E38" s="301" t="s">
        <v>250</v>
      </c>
      <c r="F38" s="301"/>
      <c r="G38" s="301"/>
      <c r="H38" s="301"/>
      <c r="I38" s="301"/>
    </row>
    <row r="39" spans="5:9" hidden="1" x14ac:dyDescent="0.25">
      <c r="E39" s="301" t="s">
        <v>251</v>
      </c>
      <c r="F39" s="301"/>
      <c r="G39" s="301"/>
      <c r="H39" s="301"/>
      <c r="I39" s="301"/>
    </row>
    <row r="40" spans="5:9" hidden="1" x14ac:dyDescent="0.25">
      <c r="E40" s="301" t="s">
        <v>252</v>
      </c>
      <c r="F40" s="301"/>
      <c r="G40" s="301"/>
      <c r="H40" s="301"/>
      <c r="I40" s="301"/>
    </row>
    <row r="41" spans="5:9" hidden="1" x14ac:dyDescent="0.25">
      <c r="E41" s="301" t="s">
        <v>17</v>
      </c>
      <c r="F41" s="301"/>
      <c r="G41" s="301"/>
      <c r="H41" s="301"/>
      <c r="I41" s="301"/>
    </row>
    <row r="42" spans="5:9" hidden="1" x14ac:dyDescent="0.25">
      <c r="E42" s="301" t="s">
        <v>12</v>
      </c>
      <c r="F42" s="301"/>
      <c r="G42" s="301"/>
      <c r="H42" s="301"/>
      <c r="I42" s="301"/>
    </row>
    <row r="43" spans="5:9" hidden="1" x14ac:dyDescent="0.25">
      <c r="E43" s="301" t="s">
        <v>13</v>
      </c>
      <c r="F43" s="301"/>
      <c r="G43" s="301"/>
      <c r="H43" s="301"/>
      <c r="I43" s="301"/>
    </row>
    <row r="44" spans="5:9" hidden="1" x14ac:dyDescent="0.25">
      <c r="E44" s="301" t="s">
        <v>256</v>
      </c>
      <c r="F44" s="301"/>
      <c r="G44" s="301"/>
      <c r="H44" s="301"/>
      <c r="I44" s="301"/>
    </row>
    <row r="45" spans="5:9" hidden="1" x14ac:dyDescent="0.25">
      <c r="E45" s="301" t="s">
        <v>11</v>
      </c>
      <c r="F45" s="301"/>
      <c r="G45" s="301"/>
      <c r="H45" s="301"/>
      <c r="I45" s="301"/>
    </row>
    <row r="46" spans="5:9" hidden="1" x14ac:dyDescent="0.25">
      <c r="E46" s="301" t="s">
        <v>18</v>
      </c>
      <c r="F46" s="301"/>
      <c r="G46" s="301"/>
      <c r="H46" s="301"/>
      <c r="I46" s="301"/>
    </row>
    <row r="47" spans="5:9" hidden="1" x14ac:dyDescent="0.25">
      <c r="E47" s="301" t="s">
        <v>19</v>
      </c>
      <c r="F47" s="301"/>
      <c r="G47" s="301"/>
      <c r="H47" s="301"/>
      <c r="I47" s="301"/>
    </row>
    <row r="48" spans="5:9" hidden="1" x14ac:dyDescent="0.25">
      <c r="E48" s="301" t="s">
        <v>258</v>
      </c>
      <c r="F48" s="301"/>
      <c r="G48" s="301"/>
      <c r="H48" s="301"/>
      <c r="I48" s="301"/>
    </row>
    <row r="49" spans="5:9" hidden="1" x14ac:dyDescent="0.25">
      <c r="E49" s="301" t="s">
        <v>259</v>
      </c>
      <c r="F49" s="301"/>
      <c r="G49" s="301"/>
      <c r="H49" s="301"/>
      <c r="I49" s="301"/>
    </row>
    <row r="50" spans="5:9" hidden="1" x14ac:dyDescent="0.25">
      <c r="E50" s="301" t="s">
        <v>260</v>
      </c>
      <c r="F50" s="301"/>
      <c r="G50" s="301"/>
      <c r="H50" s="301"/>
      <c r="I50" s="301"/>
    </row>
    <row r="51" spans="5:9" hidden="1" x14ac:dyDescent="0.25">
      <c r="E51" s="301" t="s">
        <v>440</v>
      </c>
      <c r="F51" s="301"/>
      <c r="G51" s="301"/>
      <c r="H51" s="301"/>
      <c r="I51" s="301"/>
    </row>
    <row r="52" spans="5:9" hidden="1" x14ac:dyDescent="0.25">
      <c r="E52" s="301" t="s">
        <v>441</v>
      </c>
      <c r="F52" s="301"/>
      <c r="G52" s="301"/>
      <c r="H52" s="301"/>
      <c r="I52" s="301"/>
    </row>
    <row r="53" spans="5:9" hidden="1" x14ac:dyDescent="0.25"/>
    <row r="54" spans="5:9" ht="15.75" thickTop="1" x14ac:dyDescent="0.25"/>
  </sheetData>
  <mergeCells count="6">
    <mergeCell ref="A1:G1"/>
    <mergeCell ref="AA17:AB17"/>
    <mergeCell ref="AA18:AB18"/>
    <mergeCell ref="AA19:AB19"/>
    <mergeCell ref="AA20:AB20"/>
    <mergeCell ref="G7:H9"/>
  </mergeCells>
  <pageMargins left="0.7" right="0.7" top="0.75" bottom="0.75" header="0.3" footer="0.3"/>
  <pageSetup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35D1-0C68-4437-BB3A-7F320125DA37}">
  <sheetPr>
    <tabColor rgb="FFFFFF00"/>
    <pageSetUpPr fitToPage="1"/>
  </sheetPr>
  <dimension ref="A1:R101"/>
  <sheetViews>
    <sheetView topLeftCell="A78" zoomScaleNormal="100" workbookViewId="0">
      <selection activeCell="E97" sqref="E97"/>
    </sheetView>
  </sheetViews>
  <sheetFormatPr defaultRowHeight="15" x14ac:dyDescent="0.25"/>
  <cols>
    <col min="1" max="1" width="23.7109375" style="182" customWidth="1"/>
    <col min="2" max="2" width="16.28515625" style="182" customWidth="1"/>
    <col min="3" max="5" width="9.140625" style="182"/>
    <col min="6" max="6" width="11" style="182" customWidth="1"/>
    <col min="7" max="7" width="9.140625" style="182"/>
    <col min="8" max="8" width="14.28515625" style="181" bestFit="1" customWidth="1"/>
    <col min="9" max="9" width="15" style="182" customWidth="1"/>
    <col min="10" max="10" width="13.28515625" style="182" bestFit="1" customWidth="1"/>
    <col min="11" max="11" width="14.28515625" style="182" customWidth="1"/>
    <col min="12" max="12" width="9.140625" style="182"/>
    <col min="13" max="13" width="14.7109375" style="181" customWidth="1"/>
    <col min="14" max="14" width="14" style="181" customWidth="1"/>
    <col min="15" max="15" width="5.28515625" style="181" customWidth="1"/>
    <col min="16" max="16" width="9.140625" style="181"/>
    <col min="17" max="17" width="10.42578125" style="182" customWidth="1"/>
    <col min="18" max="16384" width="9.140625" style="182"/>
  </cols>
  <sheetData>
    <row r="1" spans="1:14" ht="27" thickBot="1" x14ac:dyDescent="0.45">
      <c r="A1" s="345" t="s">
        <v>318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7"/>
    </row>
    <row r="2" spans="1:14" x14ac:dyDescent="0.25">
      <c r="A2" s="183" t="s">
        <v>424</v>
      </c>
    </row>
    <row r="3" spans="1:14" ht="34.5" x14ac:dyDescent="0.4">
      <c r="H3" s="184" t="s">
        <v>29</v>
      </c>
      <c r="I3" s="185" t="s">
        <v>281</v>
      </c>
      <c r="J3" s="185" t="s">
        <v>282</v>
      </c>
      <c r="K3" s="186" t="s">
        <v>270</v>
      </c>
    </row>
    <row r="4" spans="1:14" ht="15.75" x14ac:dyDescent="0.3">
      <c r="A4" s="187" t="s">
        <v>61</v>
      </c>
      <c r="J4" s="188"/>
    </row>
    <row r="5" spans="1:14" ht="15.75" x14ac:dyDescent="0.3">
      <c r="A5" s="189" t="s">
        <v>65</v>
      </c>
      <c r="G5" s="183" t="s">
        <v>7</v>
      </c>
      <c r="H5" s="181">
        <f>SUMIF(('Data Form'!$C$6:$C$701), "A", 'Data Form'!I$6:I$701)</f>
        <v>70885844</v>
      </c>
      <c r="I5" s="181">
        <f>SUMIFS(('Data Form'!$I$6:$I$701),('Data Form'!$C$6:$C$701), "A", ('Data Form'!H$6:H$701), "SL")</f>
        <v>70885844</v>
      </c>
      <c r="J5" s="181">
        <f>SUMIFS(('Data Form'!$I$6:$I$701),('Data Form'!$C$6:$C$701), "A", ('Data Form'!H$6:H$701), "F")</f>
        <v>0</v>
      </c>
      <c r="K5" s="190">
        <f>I5+J5</f>
        <v>70885844</v>
      </c>
    </row>
    <row r="6" spans="1:14" ht="15.75" x14ac:dyDescent="0.3">
      <c r="A6" s="189" t="s">
        <v>66</v>
      </c>
      <c r="G6" s="183" t="s">
        <v>14</v>
      </c>
      <c r="H6" s="181">
        <f>SUMIF(('Data Form'!$C$6:$C$701), "F", 'Data Form'!I$6:I$701)</f>
        <v>1098820.08</v>
      </c>
      <c r="I6" s="181">
        <f>SUMIFS(('Data Form'!$I$6:$I$701),('Data Form'!$C$6:$C$701), "F", ('Data Form'!H$6:H$701), "SL")</f>
        <v>0</v>
      </c>
      <c r="J6" s="181">
        <f>SUMIFS(('Data Form'!$I$6:$I$701),('Data Form'!$C$6:$C$701), "F", ('Data Form'!H$6:H$701), "F")</f>
        <v>1098820.08</v>
      </c>
      <c r="K6" s="190">
        <f>I6+J6</f>
        <v>1098820.08</v>
      </c>
    </row>
    <row r="7" spans="1:14" ht="15.75" x14ac:dyDescent="0.3">
      <c r="A7" s="189" t="s">
        <v>67</v>
      </c>
      <c r="G7" s="183" t="s">
        <v>16</v>
      </c>
      <c r="H7" s="181">
        <f>SUMIF(('Data Form'!$C$6:$C$701), "C", 'Data Form'!I$6:I$701)</f>
        <v>1004481</v>
      </c>
      <c r="I7" s="181">
        <f>SUMIFS(('Data Form'!$I$6:$I$701),('Data Form'!$C$6:$C$701), "C", ('Data Form'!H$6:H$701), "SL")</f>
        <v>844481</v>
      </c>
      <c r="J7" s="181">
        <f>SUMIFS(('Data Form'!$I$6:$I$701),('Data Form'!$C$6:$C$701), "C", ('Data Form'!H$6:H$701), "F")</f>
        <v>160000</v>
      </c>
      <c r="K7" s="190">
        <f>I7+J7</f>
        <v>1004481</v>
      </c>
    </row>
    <row r="8" spans="1:14" ht="15.75" x14ac:dyDescent="0.3">
      <c r="A8" s="189" t="s">
        <v>68</v>
      </c>
      <c r="G8" s="183" t="s">
        <v>239</v>
      </c>
      <c r="H8" s="181">
        <f>SUMIF(('Data Form'!$C$6:$C$701), "V", 'Data Form'!I$6:I$701)</f>
        <v>0</v>
      </c>
      <c r="I8" s="181">
        <f>SUMIFS(('Data Form'!$I$6:$I$701),('Data Form'!$C$6:$C$701), "V", ('Data Form'!H$6:H$701), "SL")</f>
        <v>0</v>
      </c>
      <c r="J8" s="181">
        <f>SUMIFS(('Data Form'!$I$6:$I$701),('Data Form'!$C$6:$C$701), "V", ('Data Form'!H$6:H$701), "F")</f>
        <v>0</v>
      </c>
      <c r="K8" s="190">
        <f>I8+J8</f>
        <v>0</v>
      </c>
    </row>
    <row r="9" spans="1:14" ht="16.5" thickBot="1" x14ac:dyDescent="0.35">
      <c r="A9" s="191" t="s">
        <v>69</v>
      </c>
      <c r="H9" s="192">
        <f>SUM(H5:H8)</f>
        <v>72989145.079999998</v>
      </c>
      <c r="I9" s="192">
        <f>SUM(I5:I8)</f>
        <v>71730325</v>
      </c>
      <c r="J9" s="192">
        <f>SUM(J5:J8)</f>
        <v>1258820.08</v>
      </c>
      <c r="K9" s="193">
        <f>I9+J9</f>
        <v>72989145.079999998</v>
      </c>
    </row>
    <row r="10" spans="1:14" ht="16.5" thickTop="1" thickBot="1" x14ac:dyDescent="0.3">
      <c r="F10" s="194" t="s">
        <v>394</v>
      </c>
    </row>
    <row r="11" spans="1:14" ht="29.25" customHeight="1" thickBot="1" x14ac:dyDescent="0.3">
      <c r="F11" s="348" t="s">
        <v>416</v>
      </c>
      <c r="G11" s="349"/>
      <c r="H11" s="195">
        <f>'Data Form'!I703</f>
        <v>72989145.080000013</v>
      </c>
    </row>
    <row r="12" spans="1:14" ht="51.75" x14ac:dyDescent="0.4">
      <c r="A12" s="187" t="s">
        <v>70</v>
      </c>
      <c r="H12" s="184" t="s">
        <v>29</v>
      </c>
      <c r="I12" s="185" t="s">
        <v>281</v>
      </c>
      <c r="J12" s="185" t="s">
        <v>282</v>
      </c>
      <c r="K12" s="186" t="s">
        <v>270</v>
      </c>
      <c r="L12" s="188" t="s">
        <v>283</v>
      </c>
      <c r="M12" s="196" t="s">
        <v>281</v>
      </c>
      <c r="N12" s="196" t="s">
        <v>282</v>
      </c>
    </row>
    <row r="13" spans="1:14" ht="15.75" x14ac:dyDescent="0.3">
      <c r="A13" s="189" t="s">
        <v>71</v>
      </c>
      <c r="G13" s="183" t="s">
        <v>5</v>
      </c>
      <c r="H13" s="181">
        <f>SUMIF(('Data Form'!$E$6:$E$701), "B1", 'Data Form'!I$6:I$701)</f>
        <v>358500</v>
      </c>
      <c r="I13" s="181">
        <f>SUMIFS(('Data Form'!$I$6:$I$701),('Data Form'!$E$6:$E$701), "B1", ('Data Form'!H$6:H$701), "SL")</f>
        <v>358500</v>
      </c>
      <c r="J13" s="181">
        <f>SUMIFS(('Data Form'!$I$6:$I$701),('Data Form'!$E$6:$E$701), "B1", ('Data Form'!H$6:H$701), "F")</f>
        <v>0</v>
      </c>
      <c r="K13" s="190">
        <f t="shared" ref="K13:K21" si="0">I13+J13</f>
        <v>358500</v>
      </c>
    </row>
    <row r="14" spans="1:14" ht="15.75" x14ac:dyDescent="0.3">
      <c r="A14" s="189" t="s">
        <v>72</v>
      </c>
      <c r="G14" s="183" t="s">
        <v>15</v>
      </c>
      <c r="H14" s="181">
        <f>SUMIF(('Data Form'!$E$6:$E$701), "B2", 'Data Form'!I$6:I$701)</f>
        <v>5984337</v>
      </c>
      <c r="I14" s="181">
        <f>SUMIFS(('Data Form'!$I$6:$I$701),('Data Form'!$E$6:$E$701), "B2", ('Data Form'!H$6:H$701), "SL")</f>
        <v>5984337</v>
      </c>
      <c r="J14" s="181">
        <f>SUMIFS(('Data Form'!$I$6:$I$701),('Data Form'!$E$6:$E$701), "B2", ('Data Form'!H$6:H$701), "F")</f>
        <v>0</v>
      </c>
      <c r="K14" s="190">
        <f t="shared" si="0"/>
        <v>5984337</v>
      </c>
    </row>
    <row r="15" spans="1:14" ht="15.75" x14ac:dyDescent="0.3">
      <c r="A15" s="189" t="s">
        <v>73</v>
      </c>
      <c r="G15" s="183" t="s">
        <v>6</v>
      </c>
      <c r="H15" s="181">
        <f>SUMIF(('Data Form'!$E$6:$E$701), "B3", 'Data Form'!I$6:I$701)</f>
        <v>1004481</v>
      </c>
      <c r="I15" s="181">
        <f>SUMIFS(('Data Form'!$I$6:$I$701),('Data Form'!$E$6:$E$701), "B3", ('Data Form'!H$6:H$701), "SL")</f>
        <v>844481</v>
      </c>
      <c r="J15" s="181">
        <f>SUMIFS(('Data Form'!$I$6:$I$701),('Data Form'!$E$6:$E$701), "B3", ('Data Form'!H$6:H$701), "F")</f>
        <v>160000</v>
      </c>
      <c r="K15" s="190">
        <f t="shared" si="0"/>
        <v>1004481</v>
      </c>
    </row>
    <row r="16" spans="1:14" ht="15.75" x14ac:dyDescent="0.3">
      <c r="A16" s="189" t="s">
        <v>284</v>
      </c>
      <c r="G16" s="183" t="s">
        <v>240</v>
      </c>
      <c r="H16" s="181">
        <f>SUMIFS(('Data Form'!$I$6:$I$701),('Data Form'!$E$6:$E$701),"B4",('Data Form'!$D$6:$D$701),"1")</f>
        <v>33718</v>
      </c>
      <c r="I16" s="181">
        <f>SUMIFS(('Data Form'!$I$6:$I$701),('Data Form'!$E$6:$E$701),"B4",('Data Form'!$D$6:$D$701),"1",('Data Form'!$H$6:$H$701), "SL" )</f>
        <v>33718</v>
      </c>
      <c r="J16" s="181">
        <f>SUMIFS(('Data Form'!$I$6:$I$701),('Data Form'!$E$6:$E$701),"B4",('Data Form'!$D$6:$D$701),"1",('Data Form'!$H$6:$H$701), "F" )</f>
        <v>0</v>
      </c>
      <c r="K16" s="190">
        <f t="shared" si="0"/>
        <v>33718</v>
      </c>
      <c r="M16" s="181">
        <f>ROUND(+I16*'Fringe Benefits'!$E$11,2)</f>
        <v>13596.24</v>
      </c>
      <c r="N16" s="181">
        <f>ROUND(+J16*'Fringe Benefits'!$E$11,2)</f>
        <v>0</v>
      </c>
    </row>
    <row r="17" spans="1:18" ht="15.75" x14ac:dyDescent="0.3">
      <c r="A17" s="189" t="s">
        <v>285</v>
      </c>
      <c r="G17" s="183" t="s">
        <v>240</v>
      </c>
      <c r="H17" s="181">
        <f>SUMIF(('Data Form'!$E$6:$E$701), "B4", 'Data Form'!I$6:I$701)-H16</f>
        <v>2080</v>
      </c>
      <c r="I17" s="181">
        <f>SUMIFS(('Data Form'!$I$6:$I$701),('Data Form'!$E$6:$E$701), "B4", ('Data Form'!H$6:H$701), "SL")-I16</f>
        <v>2080</v>
      </c>
      <c r="J17" s="181">
        <f>SUMIFS(('Data Form'!$I$6:$I$701),('Data Form'!$E$6:$E$701), "B4", ('Data Form'!H$6:H$701), "F")-J16</f>
        <v>0</v>
      </c>
      <c r="K17" s="190">
        <f t="shared" si="0"/>
        <v>2080</v>
      </c>
    </row>
    <row r="18" spans="1:18" ht="15.75" x14ac:dyDescent="0.3">
      <c r="A18" s="189" t="s">
        <v>286</v>
      </c>
      <c r="G18" s="183" t="s">
        <v>241</v>
      </c>
      <c r="H18" s="181">
        <f>SUMIFS(('Data Form'!$I$6:$I$701),('Data Form'!$E$6:$E$701),"B5",('Data Form'!$D$6:$D$701),"1")</f>
        <v>51958</v>
      </c>
      <c r="I18" s="181">
        <f>SUMIFS(('Data Form'!$I$6:$I$701),('Data Form'!$E$6:$E$701),"B5",('Data Form'!$D$6:$D$701),"1",('Data Form'!$H$6:$H$701), "SL" )</f>
        <v>51958</v>
      </c>
      <c r="J18" s="181">
        <f>SUMIFS(('Data Form'!$I$6:$I$701),('Data Form'!$E$6:$E$701),"B5",('Data Form'!$D$6:$D$701),"1",('Data Form'!$H$6:$H$701), "F" )</f>
        <v>0</v>
      </c>
      <c r="K18" s="190">
        <f t="shared" si="0"/>
        <v>51958</v>
      </c>
      <c r="M18" s="181">
        <f>ROUND(+I18*'Fringe Benefits'!$E$11,2)</f>
        <v>20951.23</v>
      </c>
      <c r="N18" s="181">
        <f>ROUND(+J18*'Fringe Benefits'!$E$11,2)</f>
        <v>0</v>
      </c>
    </row>
    <row r="19" spans="1:18" ht="15.75" x14ac:dyDescent="0.3">
      <c r="A19" s="189" t="s">
        <v>287</v>
      </c>
      <c r="G19" s="183" t="s">
        <v>241</v>
      </c>
      <c r="H19" s="181">
        <f>SUMIF(('Data Form'!$E$6:$E$701), "B5", 'Data Form'!I$6:I$701)-H18</f>
        <v>32600</v>
      </c>
      <c r="I19" s="181">
        <f>SUMIFS(('Data Form'!$I$6:$I$701),('Data Form'!$E$6:$E$701), "B5", ('Data Form'!H$6:H$701), "SL")-I18</f>
        <v>32600</v>
      </c>
      <c r="J19" s="181">
        <f>SUMIFS(('Data Form'!$I$6:$I$701),('Data Form'!$E$6:$E$701), "B5", ('Data Form'!H$6:H$701), "F")-J18</f>
        <v>0</v>
      </c>
      <c r="K19" s="190">
        <f t="shared" si="0"/>
        <v>32600</v>
      </c>
    </row>
    <row r="20" spans="1:18" ht="15.75" x14ac:dyDescent="0.3">
      <c r="A20" s="189" t="s">
        <v>0</v>
      </c>
      <c r="G20" s="183" t="s">
        <v>242</v>
      </c>
      <c r="H20" s="181">
        <f>SUMIFS(('Data Form'!$I$6:$I$701),('Data Form'!$E$6:$E$701),"B6",('Data Form'!$D$6:$D$701),"1")</f>
        <v>2416618</v>
      </c>
      <c r="I20" s="181">
        <f>SUMIFS(('Data Form'!$I$6:$I$701),('Data Form'!$E$6:$E$701),"B6",('Data Form'!$D$6:$D$701),"1",('Data Form'!$H$6:$H$701), "SL" )</f>
        <v>2416618</v>
      </c>
      <c r="J20" s="181">
        <f>SUMIFS(('Data Form'!$I$6:$I$701),('Data Form'!$E$6:$E$701),"B6",('Data Form'!$D$6:$D$701),"1",('Data Form'!$H$6:$H$701), "F" )</f>
        <v>0</v>
      </c>
      <c r="K20" s="190">
        <f t="shared" si="0"/>
        <v>2416618</v>
      </c>
      <c r="M20" s="181">
        <f>ROUND(+I20*'Fringe Benefits'!$E$11,2)</f>
        <v>974462.21</v>
      </c>
      <c r="N20" s="181">
        <f>ROUND(+J20*'Fringe Benefits'!$E$11,2)</f>
        <v>0</v>
      </c>
    </row>
    <row r="21" spans="1:18" ht="15.75" x14ac:dyDescent="0.3">
      <c r="A21" s="189" t="s">
        <v>288</v>
      </c>
      <c r="G21" s="183" t="s">
        <v>242</v>
      </c>
      <c r="H21" s="181">
        <f>SUMIF(('Data Form'!$E$6:$E$701), "B6", 'Data Form'!I$6:I$701)-H20</f>
        <v>1633310</v>
      </c>
      <c r="I21" s="181">
        <f>SUMIFS(('Data Form'!$I$6:$I$701),('Data Form'!$E$6:$E$701), "B6", ('Data Form'!H$6:H$701), "SL")-I20</f>
        <v>1633310</v>
      </c>
      <c r="J21" s="181">
        <f>SUMIFS(('Data Form'!$I$6:$I$701),('Data Form'!$E$6:$E$701), "B6", ('Data Form'!H$6:H$701), "F")-J20</f>
        <v>0</v>
      </c>
      <c r="K21" s="190">
        <f t="shared" si="0"/>
        <v>1633310</v>
      </c>
    </row>
    <row r="22" spans="1:18" ht="16.5" thickBot="1" x14ac:dyDescent="0.35">
      <c r="A22" s="189" t="s">
        <v>77</v>
      </c>
      <c r="G22" s="183" t="s">
        <v>243</v>
      </c>
      <c r="H22" s="181">
        <f>+J22+I22</f>
        <v>1009009.6799999999</v>
      </c>
      <c r="I22" s="181">
        <f>SUM(M13:M21)</f>
        <v>1009009.6799999999</v>
      </c>
      <c r="J22" s="181">
        <f>SUM(N13:N21)</f>
        <v>0</v>
      </c>
      <c r="K22" s="190">
        <f>+M22+N22</f>
        <v>1009009.6799999999</v>
      </c>
      <c r="M22" s="192">
        <f>SUM(M13:M21)</f>
        <v>1009009.6799999999</v>
      </c>
      <c r="N22" s="192">
        <f>SUM(N13:N21)</f>
        <v>0</v>
      </c>
    </row>
    <row r="23" spans="1:18" ht="17.25" thickTop="1" thickBot="1" x14ac:dyDescent="0.35">
      <c r="A23" s="191" t="s">
        <v>78</v>
      </c>
      <c r="H23" s="192">
        <f>SUM(H13:H22)</f>
        <v>12526611.68</v>
      </c>
      <c r="I23" s="192">
        <f>SUM(I13:I22)</f>
        <v>12366611.68</v>
      </c>
      <c r="J23" s="192">
        <f>SUM(J13:J22)</f>
        <v>160000</v>
      </c>
      <c r="K23" s="192">
        <f>SUM(K13:K22)</f>
        <v>12526611.68</v>
      </c>
    </row>
    <row r="24" spans="1:18" ht="15.75" thickTop="1" x14ac:dyDescent="0.25"/>
    <row r="26" spans="1:18" ht="51.75" x14ac:dyDescent="0.4">
      <c r="A26" s="187" t="s">
        <v>79</v>
      </c>
      <c r="F26" s="196" t="s">
        <v>293</v>
      </c>
      <c r="H26" s="184" t="s">
        <v>29</v>
      </c>
      <c r="I26" s="185" t="s">
        <v>281</v>
      </c>
      <c r="J26" s="185" t="s">
        <v>282</v>
      </c>
      <c r="K26" s="186" t="s">
        <v>270</v>
      </c>
      <c r="L26" s="188" t="s">
        <v>283</v>
      </c>
      <c r="M26" s="196" t="s">
        <v>281</v>
      </c>
      <c r="N26" s="196" t="s">
        <v>282</v>
      </c>
      <c r="P26" s="196"/>
    </row>
    <row r="27" spans="1:18" ht="16.5" thickBot="1" x14ac:dyDescent="0.35">
      <c r="A27" s="189" t="s">
        <v>397</v>
      </c>
      <c r="F27" s="171"/>
      <c r="G27" s="183"/>
      <c r="H27" s="197">
        <f>SUMIFS(('Data Form'!$I$6:$I$701),('Data Form'!$E$6:$E$701),"C1",('Data Form'!$D$6:$D$701),"1")</f>
        <v>0</v>
      </c>
      <c r="I27" s="197">
        <f>SUMIFS(('Data Form'!$I$6:$I$701),('Data Form'!$E$6:$E$701),"C1",('Data Form'!$D$6:$D$701),"1",('Data Form'!$H$6:$H$701), "SL" )</f>
        <v>0</v>
      </c>
      <c r="J27" s="197">
        <f>SUMIFS(('Data Form'!$I$6:$I$701),('Data Form'!$E$6:$E$701),"C1",('Data Form'!$D$6:$D$701),"1",('Data Form'!$H$6:$H$701), "F" )</f>
        <v>0</v>
      </c>
      <c r="K27" s="198">
        <f t="shared" ref="K27:K32" si="1">I27+J27</f>
        <v>0</v>
      </c>
      <c r="L27" s="199"/>
      <c r="M27" s="197">
        <f>ROUND(+I27*'Fringe Benefits'!$E$11,2)</f>
        <v>0</v>
      </c>
      <c r="N27" s="197">
        <f>ROUND(+J27*'Fringe Benefits'!$E$11,2)</f>
        <v>0</v>
      </c>
      <c r="P27" s="350"/>
      <c r="Q27" s="350"/>
      <c r="R27" s="350"/>
    </row>
    <row r="28" spans="1:18" ht="15.75" customHeight="1" x14ac:dyDescent="0.3">
      <c r="A28" s="189" t="s">
        <v>398</v>
      </c>
      <c r="F28" s="172"/>
      <c r="G28" s="183" t="s">
        <v>8</v>
      </c>
      <c r="H28" s="181">
        <f>SUMIF(('Data Form'!$E$6:$E$701), "C1", 'Data Form'!I$6:I$701)-H27</f>
        <v>0</v>
      </c>
      <c r="I28" s="181">
        <f>SUMIFS(('Data Form'!$I$6:$I$701),('Data Form'!$E$6:$E$701), "C1", ('Data Form'!H$6:H$701), "SL")-I27</f>
        <v>0</v>
      </c>
      <c r="J28" s="181">
        <f>SUMIFS(('Data Form'!$I$6:$I$701),('Data Form'!$E$6:$E$701), "C1", ('Data Form'!H$6:H$701), "F")-J27</f>
        <v>0</v>
      </c>
      <c r="K28" s="190">
        <f t="shared" si="1"/>
        <v>0</v>
      </c>
      <c r="P28" s="351" t="s">
        <v>423</v>
      </c>
      <c r="Q28" s="352"/>
      <c r="R28" s="353"/>
    </row>
    <row r="29" spans="1:18" ht="15.75" x14ac:dyDescent="0.3">
      <c r="A29" s="189" t="s">
        <v>289</v>
      </c>
      <c r="F29" s="172"/>
      <c r="G29" s="183" t="s">
        <v>9</v>
      </c>
      <c r="H29" s="200">
        <f>SUMIFS(('Data Form'!$I$6:$I$701),('Data Form'!$E$6:$E$701),"C2",('Data Form'!$D$6:$D$701),"1")</f>
        <v>0</v>
      </c>
      <c r="I29" s="200">
        <f>SUMIFS(('Data Form'!$I$6:$I$701),('Data Form'!$E$6:$E$701),"C2",('Data Form'!$D$6:$D$701),"1",('Data Form'!$H$6:$H$701), "SL" )</f>
        <v>0</v>
      </c>
      <c r="J29" s="200">
        <f>SUMIFS(('Data Form'!$I$6:$I$701),('Data Form'!$E$6:$E$701),"C2",('Data Form'!$D$6:$D$701),"1",('Data Form'!$H$6:$H$701), "F" )</f>
        <v>0</v>
      </c>
      <c r="K29" s="201">
        <f t="shared" si="1"/>
        <v>0</v>
      </c>
      <c r="L29" s="202"/>
      <c r="M29" s="200">
        <f>ROUND(+I29*'Fringe Benefits'!$E$11,2)</f>
        <v>0</v>
      </c>
      <c r="N29" s="200">
        <f>ROUND(+J29*'Fringe Benefits'!$E$11,2)</f>
        <v>0</v>
      </c>
      <c r="P29" s="354"/>
      <c r="Q29" s="355"/>
      <c r="R29" s="356"/>
    </row>
    <row r="30" spans="1:18" ht="15.75" x14ac:dyDescent="0.3">
      <c r="A30" s="189" t="s">
        <v>290</v>
      </c>
      <c r="F30" s="173"/>
      <c r="G30" s="183" t="s">
        <v>9</v>
      </c>
      <c r="H30" s="181">
        <f>SUMIF(('Data Form'!$E$6:$E$701), "C2", 'Data Form'!I$6:I$701)-H29</f>
        <v>0</v>
      </c>
      <c r="I30" s="181">
        <f>SUMIFS(('Data Form'!$I$6:$I$701),('Data Form'!$E$6:$E$701), "C2", ('Data Form'!H$6:H$701), "SL")-I29</f>
        <v>0</v>
      </c>
      <c r="J30" s="181">
        <f>SUMIFS(('Data Form'!$I$6:$I$701),('Data Form'!$E$6:$E$701), "C2", ('Data Form'!H$6:H$701), "F")-J29</f>
        <v>0</v>
      </c>
      <c r="K30" s="190">
        <f t="shared" si="1"/>
        <v>0</v>
      </c>
      <c r="P30" s="354"/>
      <c r="Q30" s="355"/>
      <c r="R30" s="356"/>
    </row>
    <row r="31" spans="1:18" ht="15.75" x14ac:dyDescent="0.3">
      <c r="A31" s="189" t="s">
        <v>399</v>
      </c>
      <c r="F31" s="173"/>
      <c r="H31" s="197">
        <f>SUMIFS(('Data Form'!$I$6:$I$701),('Data Form'!$E$6:$E$701),"C3",('Data Form'!$D$6:$D$701),"1")</f>
        <v>0</v>
      </c>
      <c r="I31" s="197">
        <f>SUMIFS(('Data Form'!$I$6:$I$701),('Data Form'!$E$6:$E$701),"C3",('Data Form'!$D$6:$D$701),"1",('Data Form'!$H$6:$H$701), "SL" )</f>
        <v>0</v>
      </c>
      <c r="J31" s="197">
        <f>SUMIFS(('Data Form'!$I$6:$I$701),('Data Form'!$E$6:$E$701),"C3",('Data Form'!$D$6:$D$701),"1",('Data Form'!$H$6:$H$701), "F" )</f>
        <v>0</v>
      </c>
      <c r="K31" s="198">
        <f t="shared" si="1"/>
        <v>0</v>
      </c>
      <c r="L31" s="199"/>
      <c r="M31" s="197">
        <f>ROUND(+I31*'Fringe Benefits'!$E$11,2)</f>
        <v>0</v>
      </c>
      <c r="N31" s="197">
        <f>ROUND(+J31*'Fringe Benefits'!$E$11,2)</f>
        <v>0</v>
      </c>
      <c r="P31" s="354"/>
      <c r="Q31" s="355"/>
      <c r="R31" s="356"/>
    </row>
    <row r="32" spans="1:18" ht="15.75" customHeight="1" x14ac:dyDescent="0.3">
      <c r="A32" s="189" t="s">
        <v>400</v>
      </c>
      <c r="F32" s="174">
        <v>7</v>
      </c>
      <c r="G32" s="183" t="s">
        <v>10</v>
      </c>
      <c r="H32" s="181">
        <f>SUMIF(('Data Form'!$E$6:$E$701), "C3", 'Data Form'!I$6:I$701)-H31</f>
        <v>400000</v>
      </c>
      <c r="I32" s="181">
        <f>SUMIFS(('Data Form'!$I$6:$I$701),('Data Form'!$E$6:$E$701), "C3", ('Data Form'!H$6:H$701), "SL")-I31</f>
        <v>400000</v>
      </c>
      <c r="J32" s="181">
        <f>SUMIFS(('Data Form'!$I$6:$I$701),('Data Form'!$E$6:$E$701), "C3", ('Data Form'!H$6:H$701), "F")-J31</f>
        <v>0</v>
      </c>
      <c r="K32" s="190">
        <f t="shared" si="1"/>
        <v>400000</v>
      </c>
      <c r="P32" s="354"/>
      <c r="Q32" s="355"/>
      <c r="R32" s="356"/>
    </row>
    <row r="33" spans="1:18" ht="16.5" thickBot="1" x14ac:dyDescent="0.35">
      <c r="A33" s="189" t="s">
        <v>401</v>
      </c>
      <c r="F33" s="173"/>
      <c r="G33" s="183"/>
      <c r="H33" s="197">
        <f>SUMIFS(('Data Form'!$I$6:$I$701),('Data Form'!$E$6:$E$701),"C4",('Data Form'!$D$6:$D$701),"1")</f>
        <v>0</v>
      </c>
      <c r="I33" s="197">
        <f>SUMIFS(('Data Form'!$I$6:$I$701),('Data Form'!$E$6:$E$701),"C4",('Data Form'!$D$6:$D$701),"1",('Data Form'!$H$6:$H$701), "SL" )</f>
        <v>0</v>
      </c>
      <c r="J33" s="197">
        <f>SUMIFS(('Data Form'!$I$6:$I$701),('Data Form'!$E$6:$E$701),"C4",('Data Form'!$D$6:$D$701),"1",('Data Form'!$H$6:$H$701), "F" )</f>
        <v>0</v>
      </c>
      <c r="K33" s="198">
        <f t="shared" ref="K33:K48" si="2">I33+J33</f>
        <v>0</v>
      </c>
      <c r="L33" s="199"/>
      <c r="M33" s="197">
        <f>ROUND(+I33*'Fringe Benefits'!$E$11,2)</f>
        <v>0</v>
      </c>
      <c r="N33" s="197">
        <f>ROUND(+J33*'Fringe Benefits'!$E$11,2)</f>
        <v>0</v>
      </c>
      <c r="P33" s="357"/>
      <c r="Q33" s="358"/>
      <c r="R33" s="359"/>
    </row>
    <row r="34" spans="1:18" ht="15.75" x14ac:dyDescent="0.3">
      <c r="A34" s="189" t="s">
        <v>402</v>
      </c>
      <c r="F34" s="174"/>
      <c r="G34" s="183" t="s">
        <v>244</v>
      </c>
      <c r="H34" s="181">
        <f>SUMIF(('Data Form'!$E$6:$E$701), "C4", 'Data Form'!I$6:I$701)-H33</f>
        <v>0</v>
      </c>
      <c r="I34" s="181">
        <f>SUMIFS(('Data Form'!$I$6:$I$701),('Data Form'!$E$6:$E$701), "C4", ('Data Form'!H$6:H$701), "SL")-I33</f>
        <v>0</v>
      </c>
      <c r="J34" s="181">
        <f>SUMIFS(('Data Form'!$I$6:$I$701),('Data Form'!$E$6:$E$701), "C4", ('Data Form'!H$6:H$701), "F")-J33</f>
        <v>0</v>
      </c>
      <c r="K34" s="190">
        <f t="shared" si="2"/>
        <v>0</v>
      </c>
    </row>
    <row r="35" spans="1:18" ht="15.75" x14ac:dyDescent="0.3">
      <c r="A35" s="189" t="s">
        <v>403</v>
      </c>
      <c r="F35" s="173"/>
      <c r="G35" s="183"/>
      <c r="H35" s="197">
        <f>SUMIFS(('Data Form'!$I$6:$I$701),('Data Form'!$E$6:$E$701),"C5",('Data Form'!$D$6:$D$701),"1")</f>
        <v>0</v>
      </c>
      <c r="I35" s="197">
        <f>SUMIFS(('Data Form'!$I$6:$I$701),('Data Form'!$E$6:$E$701),"C5",('Data Form'!$D$6:$D$701),"1",('Data Form'!$H$6:$H$701), "SL" )</f>
        <v>0</v>
      </c>
      <c r="J35" s="197">
        <f>SUMIFS(('Data Form'!$I$6:$I$701),('Data Form'!$E$6:$E$701),"C5",('Data Form'!$D$6:$D$701),"1",('Data Form'!$H$6:$H$701), "F" )</f>
        <v>0</v>
      </c>
      <c r="K35" s="198">
        <f t="shared" si="2"/>
        <v>0</v>
      </c>
      <c r="L35" s="199"/>
      <c r="M35" s="197">
        <f>ROUND(+I35*'Fringe Benefits'!$E$11,2)</f>
        <v>0</v>
      </c>
      <c r="N35" s="197">
        <f>ROUND(+J35*'Fringe Benefits'!$E$11,2)</f>
        <v>0</v>
      </c>
    </row>
    <row r="36" spans="1:18" ht="15.75" x14ac:dyDescent="0.3">
      <c r="A36" s="189" t="s">
        <v>404</v>
      </c>
      <c r="F36" s="174">
        <v>12</v>
      </c>
      <c r="G36" s="183" t="s">
        <v>245</v>
      </c>
      <c r="H36" s="181">
        <f>SUMIF(('Data Form'!$E$6:$E$701), "C5", 'Data Form'!I$6:I$701)-H35</f>
        <v>1199384</v>
      </c>
      <c r="I36" s="181">
        <f>SUMIFS(('Data Form'!$I$6:$I$701),('Data Form'!$E$6:$E$701), "C5", ('Data Form'!H$6:H$701), "SL")-I35</f>
        <v>1199384</v>
      </c>
      <c r="J36" s="181">
        <f>SUMIFS(('Data Form'!$I$6:$I$701),('Data Form'!$E$6:$E$701), "C5", ('Data Form'!H$6:H$701), "F")-J35</f>
        <v>0</v>
      </c>
      <c r="K36" s="190">
        <f t="shared" si="2"/>
        <v>1199384</v>
      </c>
    </row>
    <row r="37" spans="1:18" ht="15.75" x14ac:dyDescent="0.3">
      <c r="A37" s="189" t="s">
        <v>405</v>
      </c>
      <c r="F37" s="173"/>
      <c r="G37" s="183"/>
      <c r="H37" s="197">
        <f>SUMIFS(('Data Form'!$I$6:$I$701),('Data Form'!$E$6:$E$701),"C6",('Data Form'!$D$6:$D$701),"1")</f>
        <v>0</v>
      </c>
      <c r="I37" s="197">
        <f>SUMIFS(('Data Form'!$I$6:$I$701),('Data Form'!$E$6:$E$701),"C6",('Data Form'!$D$6:$D$701),"1",('Data Form'!$H$6:$H$701), "SL" )</f>
        <v>0</v>
      </c>
      <c r="J37" s="197">
        <f>SUMIFS(('Data Form'!$I$6:$I$701),('Data Form'!$E$6:$E$701),"C6",('Data Form'!$D$6:$D$701),"1",('Data Form'!$H$6:$H$701), "F" )</f>
        <v>0</v>
      </c>
      <c r="K37" s="198">
        <f t="shared" si="2"/>
        <v>0</v>
      </c>
      <c r="L37" s="199"/>
      <c r="M37" s="197">
        <f>ROUND(+I37*'Fringe Benefits'!$E$11,2)</f>
        <v>0</v>
      </c>
      <c r="N37" s="197">
        <f>ROUND(+J37*'Fringe Benefits'!$E$11,2)</f>
        <v>0</v>
      </c>
    </row>
    <row r="38" spans="1:18" ht="15.75" x14ac:dyDescent="0.3">
      <c r="A38" s="189" t="s">
        <v>406</v>
      </c>
      <c r="F38" s="174">
        <v>16</v>
      </c>
      <c r="G38" s="183" t="s">
        <v>246</v>
      </c>
      <c r="H38" s="181">
        <f>SUMIF(('Data Form'!$E$6:$E$701), "C6", 'Data Form'!I$6:I$701)-H37</f>
        <v>1210000</v>
      </c>
      <c r="I38" s="181">
        <f>SUMIFS(('Data Form'!$I$6:$I$701),('Data Form'!$E$6:$E$701), "C6", ('Data Form'!H$6:H$701), "SL")-I37</f>
        <v>1210000</v>
      </c>
      <c r="J38" s="181">
        <f>SUMIFS(('Data Form'!$I$6:$I$701),('Data Form'!$E$6:$E$701), "C6", ('Data Form'!H$6:H$701), "F")-J37</f>
        <v>0</v>
      </c>
      <c r="K38" s="190">
        <f t="shared" si="2"/>
        <v>1210000</v>
      </c>
    </row>
    <row r="39" spans="1:18" ht="15.75" x14ac:dyDescent="0.3">
      <c r="A39" s="189" t="s">
        <v>407</v>
      </c>
      <c r="F39" s="173"/>
      <c r="G39" s="183"/>
      <c r="H39" s="197">
        <f>SUMIFS(('Data Form'!$I$6:$I$701),('Data Form'!$E$6:$E$701),"C7",('Data Form'!$D$6:$D$701),"1")</f>
        <v>0</v>
      </c>
      <c r="I39" s="197">
        <f>SUMIFS(('Data Form'!$I$6:$I$701),('Data Form'!$E$6:$E$701),"C7",('Data Form'!$D$6:$D$701),"1",('Data Form'!$H$6:$H$701), "SL" )</f>
        <v>0</v>
      </c>
      <c r="J39" s="197">
        <f>SUMIFS(('Data Form'!$I$6:$I$701),('Data Form'!$E$6:$E$701),"C7",('Data Form'!$D$6:$D$701),"1",('Data Form'!$H$6:$H$701), "F" )</f>
        <v>0</v>
      </c>
      <c r="K39" s="198">
        <f t="shared" si="2"/>
        <v>0</v>
      </c>
      <c r="L39" s="199"/>
      <c r="M39" s="197">
        <f>ROUND(+I39*'Fringe Benefits'!$E$11,2)</f>
        <v>0</v>
      </c>
      <c r="N39" s="197">
        <f>ROUND(+J39*'Fringe Benefits'!$E$11,2)</f>
        <v>0</v>
      </c>
    </row>
    <row r="40" spans="1:18" ht="15.75" x14ac:dyDescent="0.3">
      <c r="A40" s="189" t="s">
        <v>408</v>
      </c>
      <c r="F40" s="174"/>
      <c r="G40" s="183" t="s">
        <v>247</v>
      </c>
      <c r="H40" s="181">
        <f>SUMIF(('Data Form'!$E$6:$E$701), "C7", 'Data Form'!I$6:I$701)-H39</f>
        <v>0</v>
      </c>
      <c r="I40" s="181">
        <f>SUMIFS(('Data Form'!$I$6:$I$701),('Data Form'!$E$6:$E$701), "C7", ('Data Form'!H$6:H$701), "SL")-I39</f>
        <v>0</v>
      </c>
      <c r="J40" s="181">
        <f>SUMIFS(('Data Form'!$I$6:$I$701),('Data Form'!$E$6:$E$701), "C7", ('Data Form'!H$6:H$701), "F")-J39</f>
        <v>0</v>
      </c>
      <c r="K40" s="190">
        <f t="shared" si="2"/>
        <v>0</v>
      </c>
    </row>
    <row r="41" spans="1:18" ht="15.75" x14ac:dyDescent="0.3">
      <c r="A41" s="189" t="s">
        <v>409</v>
      </c>
      <c r="F41" s="173"/>
      <c r="G41" s="183"/>
      <c r="H41" s="197">
        <f>SUMIFS(('Data Form'!$I$6:$I$701),('Data Form'!$E$6:$E$701),"C8",('Data Form'!$D$6:$D$701),"1")</f>
        <v>0</v>
      </c>
      <c r="I41" s="197">
        <f>SUMIFS(('Data Form'!$I$6:$I$701),('Data Form'!$E$6:$E$701),"C8",('Data Form'!$D$6:$D$701),"1",('Data Form'!$H$6:$H$701), "SL" )</f>
        <v>0</v>
      </c>
      <c r="J41" s="197">
        <f>SUMIFS(('Data Form'!$I$6:$I$701),('Data Form'!$E$6:$E$701),"C8",('Data Form'!$D$6:$D$701),"1",('Data Form'!$H$6:$H$701), "F" )</f>
        <v>0</v>
      </c>
      <c r="K41" s="198">
        <f t="shared" si="2"/>
        <v>0</v>
      </c>
      <c r="L41" s="199"/>
      <c r="M41" s="197">
        <f>ROUND(+I41*'Fringe Benefits'!$E$11,2)</f>
        <v>0</v>
      </c>
      <c r="N41" s="197">
        <f>ROUND(+J41*'Fringe Benefits'!$E$11,2)</f>
        <v>0</v>
      </c>
    </row>
    <row r="42" spans="1:18" ht="15.75" x14ac:dyDescent="0.3">
      <c r="A42" s="189" t="s">
        <v>410</v>
      </c>
      <c r="F42" s="174"/>
      <c r="G42" s="183" t="s">
        <v>248</v>
      </c>
      <c r="H42" s="181">
        <f>SUMIF(('Data Form'!$E$6:$E$701), "C8", 'Data Form'!I$6:I$701)-H41</f>
        <v>0</v>
      </c>
      <c r="I42" s="181">
        <f>SUMIFS(('Data Form'!$I$6:$I$701),('Data Form'!$E$6:$E$701), "C8", ('Data Form'!H$6:H$701), "SL")-I41</f>
        <v>0</v>
      </c>
      <c r="J42" s="181">
        <f>SUMIFS(('Data Form'!$I$6:$I$701),('Data Form'!$E$6:$E$701), "C8", ('Data Form'!H$6:H$701), "F")-J41</f>
        <v>0</v>
      </c>
      <c r="K42" s="190">
        <f t="shared" si="2"/>
        <v>0</v>
      </c>
    </row>
    <row r="43" spans="1:18" ht="15.75" x14ac:dyDescent="0.3">
      <c r="A43" s="189" t="s">
        <v>411</v>
      </c>
      <c r="F43" s="173"/>
      <c r="G43" s="183"/>
      <c r="H43" s="197">
        <f>SUMIFS(('Data Form'!$I$6:$I$701),('Data Form'!$E$6:$E$701),"C9",('Data Form'!$D$6:$D$701),"1")</f>
        <v>0</v>
      </c>
      <c r="I43" s="197">
        <f>SUMIFS(('Data Form'!$I$6:$I$701),('Data Form'!$E$6:$E$701),"C9",('Data Form'!$D$6:$D$701),"1",('Data Form'!$H$6:$H$701), "SL" )</f>
        <v>0</v>
      </c>
      <c r="J43" s="197">
        <f>SUMIFS(('Data Form'!$I$6:$I$701),('Data Form'!$E$6:$E$701),"C9",('Data Form'!$D$6:$D$701),"1",('Data Form'!$H$6:$H$701), "F" )</f>
        <v>0</v>
      </c>
      <c r="K43" s="198">
        <f t="shared" si="2"/>
        <v>0</v>
      </c>
      <c r="L43" s="199"/>
      <c r="M43" s="197">
        <f>ROUND(+I43*'Fringe Benefits'!$E$11,2)</f>
        <v>0</v>
      </c>
      <c r="N43" s="197">
        <f>ROUND(+J43*'Fringe Benefits'!$E$11,2)</f>
        <v>0</v>
      </c>
    </row>
    <row r="44" spans="1:18" ht="15.75" x14ac:dyDescent="0.3">
      <c r="A44" s="189" t="s">
        <v>412</v>
      </c>
      <c r="F44" s="174"/>
      <c r="G44" s="183" t="s">
        <v>249</v>
      </c>
      <c r="H44" s="181">
        <f>SUMIF(('Data Form'!$E$6:$E$701), "C9", 'Data Form'!I$6:I$701)-H43</f>
        <v>0</v>
      </c>
      <c r="I44" s="181">
        <f>SUMIFS(('Data Form'!$I$6:$I$701),('Data Form'!$E$6:$E$701), "C9", ('Data Form'!H$6:H$701), "SL")-I43</f>
        <v>0</v>
      </c>
      <c r="J44" s="181">
        <f>SUMIFS(('Data Form'!$I$6:$I$701),('Data Form'!$E$6:$E$701), "C9", ('Data Form'!H$6:H$701), "F")-J43</f>
        <v>0</v>
      </c>
      <c r="K44" s="190">
        <f t="shared" si="2"/>
        <v>0</v>
      </c>
    </row>
    <row r="45" spans="1:18" ht="15.75" x14ac:dyDescent="0.3">
      <c r="A45" s="189" t="s">
        <v>413</v>
      </c>
      <c r="F45" s="173"/>
      <c r="G45" s="183"/>
      <c r="H45" s="197">
        <f>SUMIFS(('Data Form'!$I$6:$I$701),('Data Form'!$E$6:$E$701),"C10",('Data Form'!$D$6:$D$701),"1")</f>
        <v>0</v>
      </c>
      <c r="I45" s="197">
        <f>SUMIFS(('Data Form'!$I$6:$I$701),('Data Form'!$E$6:$E$701),"C10",('Data Form'!$D$6:$D$701),"1",('Data Form'!$H$6:$H$701), "SL" )</f>
        <v>0</v>
      </c>
      <c r="J45" s="197">
        <f>SUMIFS(('Data Form'!$I$6:$I$701),('Data Form'!$E$6:$E$701),"C10",('Data Form'!$D$6:$D$701),"1",('Data Form'!$H$6:$H$701), "F" )</f>
        <v>0</v>
      </c>
      <c r="K45" s="198">
        <f t="shared" si="2"/>
        <v>0</v>
      </c>
      <c r="L45" s="199"/>
      <c r="M45" s="197">
        <f>ROUND(+I45*'Fringe Benefits'!$E$11,2)</f>
        <v>0</v>
      </c>
      <c r="N45" s="197">
        <f>ROUND(+J45*'Fringe Benefits'!$E$11,2)</f>
        <v>0</v>
      </c>
    </row>
    <row r="46" spans="1:18" ht="15.75" x14ac:dyDescent="0.3">
      <c r="A46" s="189" t="s">
        <v>414</v>
      </c>
      <c r="F46" s="174"/>
      <c r="G46" s="183" t="s">
        <v>250</v>
      </c>
      <c r="H46" s="181">
        <f>SUMIF(('Data Form'!$E$6:$E$701), "C10", 'Data Form'!I$6:I$701)-H45</f>
        <v>0</v>
      </c>
      <c r="I46" s="181">
        <f>SUMIFS(('Data Form'!$I$6:$I$701),('Data Form'!$E$6:$E$701), "C10", ('Data Form'!H$6:H$701), "SL")-I45</f>
        <v>0</v>
      </c>
      <c r="J46" s="181">
        <f>SUMIFS(('Data Form'!$I$6:$I$701),('Data Form'!$E$6:$E$701), "C10", ('Data Form'!H$6:H$701), "F")-J45</f>
        <v>0</v>
      </c>
      <c r="K46" s="190">
        <f t="shared" si="2"/>
        <v>0</v>
      </c>
    </row>
    <row r="47" spans="1:18" ht="15.75" x14ac:dyDescent="0.3">
      <c r="A47" s="189" t="s">
        <v>291</v>
      </c>
      <c r="F47" s="172"/>
      <c r="G47" s="183" t="s">
        <v>251</v>
      </c>
      <c r="H47" s="181">
        <f>SUMIFS(('Data Form'!$I$6:$I$701),('Data Form'!$E$6:$E$701),"C11",('Data Form'!$D$6:$D$701),"1")</f>
        <v>38000</v>
      </c>
      <c r="I47" s="181">
        <f>SUMIFS(('Data Form'!$I$6:$I$701),('Data Form'!$E$6:$E$701),"C11",('Data Form'!$D$6:$D$701),"1",('Data Form'!$H$6:$H$701), "SL" )</f>
        <v>0</v>
      </c>
      <c r="J47" s="181">
        <f>SUMIFS(('Data Form'!$I$6:$I$701),('Data Form'!$E$6:$E$701),"C11",('Data Form'!$D$6:$D$701),"1",('Data Form'!$H$6:$H$701), "F" )</f>
        <v>38000</v>
      </c>
      <c r="K47" s="190">
        <f t="shared" si="2"/>
        <v>38000</v>
      </c>
      <c r="M47" s="181">
        <f>ROUND(+I47*'Fringe Benefits'!$E$11,2)</f>
        <v>0</v>
      </c>
      <c r="N47" s="181">
        <f>ROUND(+J47*'Fringe Benefits'!$E$11,2)</f>
        <v>15322.89</v>
      </c>
    </row>
    <row r="48" spans="1:18" ht="15.75" x14ac:dyDescent="0.3">
      <c r="A48" s="189" t="s">
        <v>292</v>
      </c>
      <c r="F48" s="175"/>
      <c r="G48" s="183" t="s">
        <v>251</v>
      </c>
      <c r="H48" s="181">
        <f>SUMIF(('Data Form'!$E$6:$E$701), "C11", 'Data Form'!I$6:I$701)-H47</f>
        <v>88141.65</v>
      </c>
      <c r="I48" s="181">
        <f>SUMIFS(('Data Form'!$I$6:$I$701),('Data Form'!$E$6:$E$701), "C11", ('Data Form'!H$6:H$701), "SL")-I47</f>
        <v>0</v>
      </c>
      <c r="J48" s="181">
        <f>SUMIFS(('Data Form'!$I$6:$I$701),('Data Form'!$E$6:$E$701), "C11", ('Data Form'!H$6:H$701), "F")-J47</f>
        <v>88141.65</v>
      </c>
      <c r="K48" s="190">
        <f t="shared" si="2"/>
        <v>88141.65</v>
      </c>
    </row>
    <row r="49" spans="1:14" ht="15.75" x14ac:dyDescent="0.3">
      <c r="A49" s="189" t="s">
        <v>453</v>
      </c>
      <c r="F49" s="172"/>
      <c r="G49" s="183" t="s">
        <v>252</v>
      </c>
      <c r="H49" s="181">
        <f>SUMIFS(('Data Form'!$I$6:$I$701),('Data Form'!$E$6:$E$701),"C12",('Data Form'!$D$6:$D$701),"1")</f>
        <v>0</v>
      </c>
      <c r="I49" s="181">
        <f>SUMIFS(('Data Form'!$I$6:$I$701),('Data Form'!$E$6:$E$701),"C12",('Data Form'!$D$6:$D$701),"1",('Data Form'!$H$6:$H$701), "SL" )</f>
        <v>0</v>
      </c>
      <c r="J49" s="181">
        <f>SUMIFS(('Data Form'!$I$6:$I$701),('Data Form'!$E$6:$E$701),"C12",('Data Form'!$D$6:$D$701),"1",('Data Form'!$H$6:$H$701), "F" )</f>
        <v>0</v>
      </c>
      <c r="K49" s="190">
        <f t="shared" ref="K49:K50" si="3">I49+J49</f>
        <v>0</v>
      </c>
      <c r="M49" s="181">
        <f>ROUND(+I49*'Fringe Benefits'!$E$11,2)</f>
        <v>0</v>
      </c>
      <c r="N49" s="181">
        <f>ROUND(+J49*'Fringe Benefits'!$E$11,2)</f>
        <v>0</v>
      </c>
    </row>
    <row r="50" spans="1:14" ht="15.75" x14ac:dyDescent="0.3">
      <c r="A50" s="189" t="s">
        <v>454</v>
      </c>
      <c r="F50" s="175"/>
      <c r="G50" s="183" t="s">
        <v>252</v>
      </c>
      <c r="H50" s="181">
        <f>SUMIF(('Data Form'!$E$6:$E$701), "C12", 'Data Form'!I$6:I$701)-H49</f>
        <v>0</v>
      </c>
      <c r="I50" s="181">
        <f>SUMIFS(('Data Form'!$I$6:$I$701),('Data Form'!$E$6:$E$701), "C12", ('Data Form'!H$6:H$701), "SL")-I49</f>
        <v>0</v>
      </c>
      <c r="J50" s="181">
        <f>SUMIFS(('Data Form'!$I$6:$I$701),('Data Form'!$E$6:$E$701), "C12", ('Data Form'!H$6:H$701), "F")-J49</f>
        <v>0</v>
      </c>
      <c r="K50" s="190">
        <f t="shared" si="3"/>
        <v>0</v>
      </c>
    </row>
    <row r="51" spans="1:14" ht="16.5" thickBot="1" x14ac:dyDescent="0.35">
      <c r="A51" s="189" t="s">
        <v>77</v>
      </c>
      <c r="G51" s="183" t="s">
        <v>455</v>
      </c>
      <c r="H51" s="181">
        <f>+J51+I51</f>
        <v>15322.89</v>
      </c>
      <c r="I51" s="181">
        <f>+M51</f>
        <v>0</v>
      </c>
      <c r="J51" s="181">
        <f>+N51</f>
        <v>15322.89</v>
      </c>
      <c r="K51" s="190">
        <f>M51+N51</f>
        <v>15322.89</v>
      </c>
      <c r="M51" s="192">
        <f>SUM(M27:M50)</f>
        <v>0</v>
      </c>
      <c r="N51" s="192">
        <f>SUM(N27:N50)</f>
        <v>15322.89</v>
      </c>
    </row>
    <row r="52" spans="1:14" ht="17.25" thickTop="1" thickBot="1" x14ac:dyDescent="0.35">
      <c r="A52" s="191" t="s">
        <v>92</v>
      </c>
      <c r="F52" s="192">
        <f>SUM(F27:F51)</f>
        <v>35</v>
      </c>
      <c r="H52" s="192">
        <f>SUM(H27:H51)</f>
        <v>2950848.54</v>
      </c>
      <c r="I52" s="192">
        <f>SUM(I27:I51)</f>
        <v>2809384</v>
      </c>
      <c r="J52" s="192">
        <f>SUM(J27:J51)</f>
        <v>141464.53999999998</v>
      </c>
      <c r="K52" s="192">
        <f>SUM(K27:K51)</f>
        <v>2950848.54</v>
      </c>
    </row>
    <row r="53" spans="1:14" ht="15.75" thickTop="1" x14ac:dyDescent="0.25"/>
    <row r="54" spans="1:14" ht="32.25" x14ac:dyDescent="0.4">
      <c r="A54" s="203" t="s">
        <v>94</v>
      </c>
      <c r="F54" s="204" t="s">
        <v>302</v>
      </c>
      <c r="H54" s="184"/>
      <c r="I54" s="185"/>
      <c r="J54" s="185"/>
      <c r="K54" s="186"/>
      <c r="L54" s="188"/>
      <c r="M54" s="196"/>
      <c r="N54" s="196"/>
    </row>
    <row r="55" spans="1:14" ht="15.75" x14ac:dyDescent="0.3">
      <c r="A55" s="189" t="s">
        <v>95</v>
      </c>
      <c r="F55" s="176">
        <v>3075</v>
      </c>
    </row>
    <row r="56" spans="1:14" ht="15.75" x14ac:dyDescent="0.3">
      <c r="A56" s="189" t="s">
        <v>96</v>
      </c>
      <c r="F56" s="176">
        <v>0</v>
      </c>
    </row>
    <row r="57" spans="1:14" ht="15.75" x14ac:dyDescent="0.3">
      <c r="A57" s="189" t="s">
        <v>97</v>
      </c>
      <c r="F57" s="176"/>
    </row>
    <row r="58" spans="1:14" ht="16.5" thickBot="1" x14ac:dyDescent="0.35">
      <c r="A58" s="189" t="s">
        <v>98</v>
      </c>
      <c r="F58" s="205">
        <f>SUM(F55:F57)</f>
        <v>3075</v>
      </c>
    </row>
    <row r="59" spans="1:14" ht="15.75" thickTop="1" x14ac:dyDescent="0.25"/>
    <row r="60" spans="1:14" ht="15.75" x14ac:dyDescent="0.3">
      <c r="A60" s="187" t="s">
        <v>103</v>
      </c>
      <c r="F60" s="206"/>
    </row>
    <row r="61" spans="1:14" ht="34.5" x14ac:dyDescent="0.4">
      <c r="A61" s="187"/>
      <c r="F61" s="207" t="s">
        <v>303</v>
      </c>
      <c r="H61" s="184" t="s">
        <v>29</v>
      </c>
      <c r="I61" s="185" t="s">
        <v>281</v>
      </c>
      <c r="J61" s="185" t="s">
        <v>282</v>
      </c>
      <c r="K61" s="186" t="s">
        <v>270</v>
      </c>
      <c r="L61" s="188" t="s">
        <v>283</v>
      </c>
      <c r="M61" s="196" t="s">
        <v>281</v>
      </c>
      <c r="N61" s="196" t="s">
        <v>282</v>
      </c>
    </row>
    <row r="62" spans="1:14" ht="15.75" x14ac:dyDescent="0.3">
      <c r="A62" s="189" t="s">
        <v>294</v>
      </c>
      <c r="F62" s="177">
        <v>0</v>
      </c>
      <c r="G62" s="183" t="s">
        <v>17</v>
      </c>
      <c r="H62" s="181">
        <f>SUMIFS(('Data Form'!$I$6:$I$701),('Data Form'!$E$6:$E$701),"E1",('Data Form'!$D$6:$D$701),"1")</f>
        <v>5749</v>
      </c>
      <c r="I62" s="181">
        <f>SUMIFS(('Data Form'!$I$6:$I$701),('Data Form'!$E$6:$E$701),"E1",('Data Form'!$D$6:$D$701),"1",('Data Form'!$H$6:$H$701), "SL" )</f>
        <v>5749</v>
      </c>
      <c r="J62" s="181">
        <f>SUMIFS(('Data Form'!$I$6:$I$701),('Data Form'!$E$6:$E$701),"E1",('Data Form'!$D$6:$D$701),"1",('Data Form'!$H$6:$H$701), "F" )</f>
        <v>0</v>
      </c>
      <c r="K62" s="190">
        <f t="shared" ref="K62:K69" si="4">I62+J62</f>
        <v>5749</v>
      </c>
      <c r="M62" s="181">
        <f>ROUND(+I62*'Fringe Benefits'!$E$11,2)</f>
        <v>2318.19</v>
      </c>
      <c r="N62" s="181">
        <f>ROUND(+J62*'Fringe Benefits'!$E$11,2)</f>
        <v>0</v>
      </c>
    </row>
    <row r="63" spans="1:14" ht="15.75" x14ac:dyDescent="0.3">
      <c r="A63" s="189" t="s">
        <v>295</v>
      </c>
      <c r="F63" s="178"/>
      <c r="G63" s="183"/>
      <c r="H63" s="181">
        <f>SUMIF(('Data Form'!$E$6:$E$701), "E1", 'Data Form'!I$6:I$701)-H62</f>
        <v>22390</v>
      </c>
      <c r="I63" s="181">
        <f>SUMIFS(('Data Form'!$I$6:$I$701),('Data Form'!$E$6:$E$701), "E1", ('Data Form'!H$6:H$701), "SL")-I62</f>
        <v>22390</v>
      </c>
      <c r="J63" s="181">
        <f>SUMIFS(('Data Form'!$I$6:$I$701),('Data Form'!$E$6:$E$701), "E1", ('Data Form'!H$6:H$701), "F")-J62</f>
        <v>0</v>
      </c>
      <c r="K63" s="190">
        <f t="shared" si="4"/>
        <v>22390</v>
      </c>
    </row>
    <row r="64" spans="1:14" ht="15.75" x14ac:dyDescent="0.3">
      <c r="A64" s="189" t="s">
        <v>296</v>
      </c>
      <c r="F64" s="177">
        <v>12</v>
      </c>
      <c r="G64" s="183" t="s">
        <v>12</v>
      </c>
      <c r="H64" s="181">
        <f>SUMIFS(('Data Form'!$I$6:$I$701),('Data Form'!$E$6:$E$701),"E2",('Data Form'!$D$6:$D$701),"1")</f>
        <v>1174964</v>
      </c>
      <c r="I64" s="181">
        <f>SUMIFS(('Data Form'!$I$6:$I$701),('Data Form'!$E$6:$E$701),"E2",('Data Form'!$D$6:$D$701),"1",('Data Form'!$H$6:$H$701), "SL" )</f>
        <v>1174964</v>
      </c>
      <c r="J64" s="181">
        <f>SUMIFS(('Data Form'!$I$6:$I$701),('Data Form'!$E$6:$E$701),"E2",('Data Form'!$D$6:$D$701),"1",('Data Form'!$H$6:$H$701), "F" )</f>
        <v>0</v>
      </c>
      <c r="K64" s="190">
        <f t="shared" si="4"/>
        <v>1174964</v>
      </c>
      <c r="M64" s="181">
        <f>ROUND(+I64*'Fringe Benefits'!$E$11,2)</f>
        <v>473785.27</v>
      </c>
      <c r="N64" s="181">
        <f>ROUND(+J64*'Fringe Benefits'!$E$11,2)</f>
        <v>0</v>
      </c>
    </row>
    <row r="65" spans="1:14" ht="15.75" x14ac:dyDescent="0.3">
      <c r="A65" s="189" t="s">
        <v>297</v>
      </c>
      <c r="F65" s="178"/>
      <c r="G65" s="183"/>
      <c r="H65" s="181">
        <f>SUMIF(('Data Form'!$E$6:$E$701), "E2", 'Data Form'!I$6:I$701)-H64</f>
        <v>348438</v>
      </c>
      <c r="I65" s="181">
        <f>SUMIFS(('Data Form'!$I$6:$I$701),('Data Form'!$E$6:$E$701), "E2", ('Data Form'!H$6:H$701), "SL")-I64</f>
        <v>348438</v>
      </c>
      <c r="J65" s="181">
        <f>SUMIFS(('Data Form'!$I$6:$I$701),('Data Form'!$E$6:$E$701), "E2", ('Data Form'!H$6:H$701), "F")-J64</f>
        <v>0</v>
      </c>
      <c r="K65" s="190">
        <f t="shared" si="4"/>
        <v>348438</v>
      </c>
    </row>
    <row r="66" spans="1:14" ht="15.75" x14ac:dyDescent="0.3">
      <c r="A66" s="189" t="s">
        <v>298</v>
      </c>
      <c r="F66" s="177">
        <v>40.5</v>
      </c>
      <c r="G66" s="183" t="s">
        <v>13</v>
      </c>
      <c r="H66" s="181">
        <f>SUMIFS(('Data Form'!$I$6:$I$701),('Data Form'!$E$6:$E$701),"E3",('Data Form'!$D$6:$D$701),"1")</f>
        <v>2051911</v>
      </c>
      <c r="I66" s="181">
        <f>SUMIFS(('Data Form'!$I$6:$I$701),('Data Form'!$E$6:$E$701),"E3",('Data Form'!$D$6:$D$701),"1",('Data Form'!$H$6:$H$701), "SL" )</f>
        <v>2051911</v>
      </c>
      <c r="J66" s="181">
        <f>SUMIFS(('Data Form'!$I$6:$I$701),('Data Form'!$E$6:$E$701),"E3",('Data Form'!$D$6:$D$701),"1",('Data Form'!$H$6:$H$701), "F" )</f>
        <v>0</v>
      </c>
      <c r="K66" s="190">
        <f t="shared" si="4"/>
        <v>2051911</v>
      </c>
      <c r="M66" s="181">
        <f>ROUND(+I66*'Fringe Benefits'!$E$11,2)</f>
        <v>827400</v>
      </c>
      <c r="N66" s="181">
        <f>ROUND(+J66*'Fringe Benefits'!$E$11,2)</f>
        <v>0</v>
      </c>
    </row>
    <row r="67" spans="1:14" ht="15.75" x14ac:dyDescent="0.3">
      <c r="A67" s="189" t="s">
        <v>299</v>
      </c>
      <c r="F67" s="178"/>
      <c r="G67" s="183"/>
      <c r="H67" s="181">
        <f>SUMIF(('Data Form'!$E$6:$E$701), "E3", 'Data Form'!I$6:I$701)-H66</f>
        <v>2261643</v>
      </c>
      <c r="I67" s="181">
        <f>SUMIFS(('Data Form'!$I$6:$I$701),('Data Form'!$E$6:$E$701), "E3", ('Data Form'!H$6:H$701), "SL")-I66</f>
        <v>2261643</v>
      </c>
      <c r="J67" s="181">
        <f>SUMIFS(('Data Form'!$I$6:$I$701),('Data Form'!$E$6:$E$701), "E3", ('Data Form'!H$6:H$701), "F")-J66</f>
        <v>0</v>
      </c>
      <c r="K67" s="190">
        <f t="shared" si="4"/>
        <v>2261643</v>
      </c>
    </row>
    <row r="68" spans="1:14" ht="15.75" x14ac:dyDescent="0.3">
      <c r="A68" s="189" t="s">
        <v>300</v>
      </c>
      <c r="F68" s="177">
        <v>0</v>
      </c>
      <c r="G68" s="183" t="s">
        <v>256</v>
      </c>
      <c r="H68" s="181">
        <f>SUMIFS(('Data Form'!$I$6:$I$701),('Data Form'!$E$6:$E$701),"E4",('Data Form'!$D$6:$D$701),"1")</f>
        <v>0</v>
      </c>
      <c r="I68" s="181">
        <f>SUMIFS(('Data Form'!$I$6:$I$701),('Data Form'!$E$6:$E$701),"E4",('Data Form'!$D$6:$D$701),"1",('Data Form'!$H$6:$H$701), "SL" )</f>
        <v>0</v>
      </c>
      <c r="J68" s="181">
        <f>SUMIFS(('Data Form'!$I$6:$I$701),('Data Form'!$E$6:$E$701),"E4",('Data Form'!$D$6:$D$701),"1",('Data Form'!$H$6:$H$701), "F" )</f>
        <v>0</v>
      </c>
      <c r="K68" s="190">
        <f t="shared" si="4"/>
        <v>0</v>
      </c>
      <c r="M68" s="181">
        <f>ROUND(+I68*'Fringe Benefits'!$E$11,2)</f>
        <v>0</v>
      </c>
      <c r="N68" s="181">
        <f>ROUND(+J68*'Fringe Benefits'!$E$11,2)</f>
        <v>0</v>
      </c>
    </row>
    <row r="69" spans="1:14" ht="15.75" x14ac:dyDescent="0.3">
      <c r="A69" s="189" t="s">
        <v>301</v>
      </c>
      <c r="F69" s="178"/>
      <c r="G69" s="183"/>
      <c r="H69" s="181">
        <f>SUMIF(('Data Form'!$E$6:$E$701), "E4", 'Data Form'!I$6:I$701)-H68</f>
        <v>1136083</v>
      </c>
      <c r="I69" s="181">
        <f>SUMIFS(('Data Form'!$I$6:$I$701),('Data Form'!$E$6:$E$701), "E4", ('Data Form'!H$6:H$701), "SL")-I68</f>
        <v>1136083</v>
      </c>
      <c r="J69" s="181">
        <f>SUMIFS(('Data Form'!$I$6:$I$701),('Data Form'!$E$6:$E$701), "E4", ('Data Form'!H$6:H$701), "F")-J68</f>
        <v>0</v>
      </c>
      <c r="K69" s="190">
        <f t="shared" si="4"/>
        <v>1136083</v>
      </c>
    </row>
    <row r="70" spans="1:14" ht="16.5" thickBot="1" x14ac:dyDescent="0.35">
      <c r="A70" s="189" t="s">
        <v>109</v>
      </c>
      <c r="G70" s="183" t="s">
        <v>257</v>
      </c>
      <c r="H70" s="181">
        <f>+I70+J70</f>
        <v>1303503.46</v>
      </c>
      <c r="I70" s="190">
        <f>M70</f>
        <v>1303503.46</v>
      </c>
      <c r="J70" s="190">
        <f>+N70</f>
        <v>0</v>
      </c>
      <c r="K70" s="190">
        <f>M70+N70</f>
        <v>1303503.46</v>
      </c>
      <c r="M70" s="192">
        <f>SUM(M62:M69)</f>
        <v>1303503.46</v>
      </c>
      <c r="N70" s="192">
        <f>SUM(N62:N69)</f>
        <v>0</v>
      </c>
    </row>
    <row r="71" spans="1:14" ht="17.25" thickTop="1" thickBot="1" x14ac:dyDescent="0.35">
      <c r="A71" s="209" t="s">
        <v>110</v>
      </c>
      <c r="F71" s="192">
        <f>SUM(F62:F70)</f>
        <v>52.5</v>
      </c>
      <c r="H71" s="192">
        <f>SUM(H62:H70)</f>
        <v>8304681.46</v>
      </c>
      <c r="I71" s="192">
        <f>SUM(I62:I70)</f>
        <v>8304681.46</v>
      </c>
      <c r="J71" s="192">
        <f>SUM(J62:J70)</f>
        <v>0</v>
      </c>
      <c r="K71" s="192">
        <f>SUM(K62:K70)</f>
        <v>8304681.46</v>
      </c>
    </row>
    <row r="72" spans="1:14" ht="15.75" thickTop="1" x14ac:dyDescent="0.25"/>
    <row r="73" spans="1:14" ht="34.5" x14ac:dyDescent="0.4">
      <c r="A73" s="210" t="s">
        <v>112</v>
      </c>
      <c r="F73" s="211" t="s">
        <v>303</v>
      </c>
      <c r="H73" s="184" t="s">
        <v>29</v>
      </c>
      <c r="I73" s="185" t="s">
        <v>281</v>
      </c>
      <c r="J73" s="185" t="s">
        <v>282</v>
      </c>
      <c r="K73" s="186" t="s">
        <v>270</v>
      </c>
      <c r="L73" s="188" t="s">
        <v>283</v>
      </c>
      <c r="M73" s="196" t="s">
        <v>281</v>
      </c>
      <c r="N73" s="196" t="s">
        <v>282</v>
      </c>
    </row>
    <row r="74" spans="1:14" ht="15.75" x14ac:dyDescent="0.3">
      <c r="A74" s="189" t="s">
        <v>304</v>
      </c>
      <c r="F74" s="177">
        <v>2</v>
      </c>
      <c r="G74" s="212" t="s">
        <v>11</v>
      </c>
      <c r="H74" s="181">
        <f>SUMIFS(('Data Form'!$I$6:$I$701),('Data Form'!$E$6:$E$701),"F1",('Data Form'!$D$6:$D$701),"1")</f>
        <v>151969</v>
      </c>
      <c r="I74" s="181">
        <f>SUMIFS(('Data Form'!$I$6:$I$701),('Data Form'!$E$6:$E$701),"F1",('Data Form'!$D$6:$D$701),"1",('Data Form'!$H$6:$H$701), "SL" )</f>
        <v>151969</v>
      </c>
      <c r="J74" s="181">
        <f>SUMIFS(('Data Form'!$I$6:$I$701),('Data Form'!$E$6:$E$701),"F1",('Data Form'!$D$6:$D$701),"1",('Data Form'!$H$6:$H$701), "F" )</f>
        <v>0</v>
      </c>
      <c r="K74" s="190">
        <f t="shared" ref="K74:K85" si="5">I74+J74</f>
        <v>151969</v>
      </c>
      <c r="M74" s="181">
        <f>ROUND(+I74*'Fringe Benefits'!$E$11,2)</f>
        <v>61279.05</v>
      </c>
      <c r="N74" s="181">
        <f>ROUND(+J74*'Fringe Benefits'!$E$11,2)</f>
        <v>0</v>
      </c>
    </row>
    <row r="75" spans="1:14" ht="15.75" x14ac:dyDescent="0.3">
      <c r="A75" s="189" t="s">
        <v>305</v>
      </c>
      <c r="F75" s="178"/>
      <c r="G75" s="212"/>
      <c r="H75" s="181">
        <f>SUMIF(('Data Form'!$E$6:$E$701), "F1", 'Data Form'!I$6:I$701)-H74</f>
        <v>40500</v>
      </c>
      <c r="I75" s="181">
        <f>SUMIFS(('Data Form'!$I$6:$I$701),('Data Form'!$E$6:$E$701), "F1", ('Data Form'!H$6:H$701), "SL")-I74</f>
        <v>40500</v>
      </c>
      <c r="J75" s="181">
        <f>SUMIFS(('Data Form'!$I$6:$I$701),('Data Form'!$E$6:$E$701), "F1", ('Data Form'!H$6:H$701), "F")-J74</f>
        <v>0</v>
      </c>
      <c r="K75" s="190">
        <f t="shared" si="5"/>
        <v>40500</v>
      </c>
    </row>
    <row r="76" spans="1:14" ht="15.75" x14ac:dyDescent="0.3">
      <c r="A76" s="189" t="s">
        <v>306</v>
      </c>
      <c r="F76" s="177">
        <v>0</v>
      </c>
      <c r="G76" s="212" t="s">
        <v>18</v>
      </c>
      <c r="H76" s="181">
        <f>SUMIFS(('Data Form'!$I$6:$I$701),('Data Form'!$E$6:$E$701),"F2",('Data Form'!$D$6:$D$701),"1")</f>
        <v>0</v>
      </c>
      <c r="I76" s="181">
        <f>SUMIFS(('Data Form'!$I$6:$I$701),('Data Form'!$E$6:$E$701),"F2",('Data Form'!$D$6:$D$701),"1",('Data Form'!$H$6:$H$701), "SL" )</f>
        <v>0</v>
      </c>
      <c r="J76" s="181">
        <f>SUMIFS(('Data Form'!$I$6:$I$701),('Data Form'!$E$6:$E$701),"F2",('Data Form'!$D$6:$D$701),"1",('Data Form'!$H$6:$H$701), "F" )</f>
        <v>0</v>
      </c>
      <c r="K76" s="190">
        <f t="shared" si="5"/>
        <v>0</v>
      </c>
      <c r="M76" s="181">
        <f>ROUND(+I76*'Fringe Benefits'!$E$11,2)</f>
        <v>0</v>
      </c>
      <c r="N76" s="181">
        <f>ROUND(+J76*'Fringe Benefits'!$E$11,2)</f>
        <v>0</v>
      </c>
    </row>
    <row r="77" spans="1:14" ht="15.75" x14ac:dyDescent="0.3">
      <c r="A77" s="189" t="s">
        <v>307</v>
      </c>
      <c r="F77" s="178"/>
      <c r="G77" s="212"/>
      <c r="H77" s="181">
        <f>SUMIF(('Data Form'!$E$6:$E$701), "F2", 'Data Form'!I$6:I$701)-H76</f>
        <v>18732</v>
      </c>
      <c r="I77" s="181">
        <f>SUMIFS(('Data Form'!$I$6:$I$701),('Data Form'!$E$6:$E$701), "F2", ('Data Form'!H$6:H$701), "SL")-I76</f>
        <v>18732</v>
      </c>
      <c r="J77" s="181">
        <f>SUMIFS(('Data Form'!$I$6:$I$701),('Data Form'!$E$6:$E$701), "F2", ('Data Form'!H$6:H$701), "F")-J76</f>
        <v>0</v>
      </c>
      <c r="K77" s="190">
        <f t="shared" si="5"/>
        <v>18732</v>
      </c>
    </row>
    <row r="78" spans="1:14" ht="15.75" x14ac:dyDescent="0.3">
      <c r="A78" s="189" t="s">
        <v>308</v>
      </c>
      <c r="F78" s="177">
        <v>0</v>
      </c>
      <c r="G78" s="212" t="s">
        <v>19</v>
      </c>
      <c r="H78" s="181">
        <f>SUMIFS(('Data Form'!$I$6:$I$701),('Data Form'!$E$6:$E$701),"F3",('Data Form'!$D$6:$D$701),"1")</f>
        <v>0</v>
      </c>
      <c r="I78" s="181">
        <f>SUMIFS(('Data Form'!$I$6:$I$701),('Data Form'!$E$6:$E$701),"F3",('Data Form'!$D$6:$D$701),"1",('Data Form'!$H$6:$H$701), "SL" )</f>
        <v>0</v>
      </c>
      <c r="J78" s="181">
        <f>SUMIFS(('Data Form'!$I$6:$I$701),('Data Form'!$E$6:$E$701),"F3",('Data Form'!$D$6:$D$701),"1",('Data Form'!$H$6:$H$701), "F" )</f>
        <v>0</v>
      </c>
      <c r="K78" s="190">
        <f t="shared" si="5"/>
        <v>0</v>
      </c>
      <c r="M78" s="181">
        <f>ROUND(+I78*'Fringe Benefits'!$E$11,2)</f>
        <v>0</v>
      </c>
      <c r="N78" s="181">
        <f>ROUND(+J78*'Fringe Benefits'!$E$11,2)</f>
        <v>0</v>
      </c>
    </row>
    <row r="79" spans="1:14" ht="15.75" x14ac:dyDescent="0.3">
      <c r="A79" s="189" t="s">
        <v>309</v>
      </c>
      <c r="F79" s="178"/>
      <c r="G79" s="212"/>
      <c r="H79" s="181">
        <f>SUMIF(('Data Form'!$E$6:$E$701), "F3", 'Data Form'!I$6:I$701)-H78</f>
        <v>55046</v>
      </c>
      <c r="I79" s="181">
        <f>SUMIFS(('Data Form'!$I$6:$I$701),('Data Form'!$E$6:$E$701), "F3", ('Data Form'!H$6:H$701), "SL")-I78</f>
        <v>55046</v>
      </c>
      <c r="J79" s="181">
        <f>SUMIFS(('Data Form'!$I$6:$I$701),('Data Form'!$E$6:$E$701), "F3", ('Data Form'!H$6:H$701), "F")-J78</f>
        <v>0</v>
      </c>
      <c r="K79" s="190">
        <f t="shared" si="5"/>
        <v>55046</v>
      </c>
    </row>
    <row r="80" spans="1:14" ht="15.75" x14ac:dyDescent="0.3">
      <c r="A80" s="189" t="s">
        <v>310</v>
      </c>
      <c r="F80" s="177">
        <v>4</v>
      </c>
      <c r="G80" s="212" t="s">
        <v>258</v>
      </c>
      <c r="H80" s="181">
        <f>SUMIFS(('Data Form'!$I$6:$I$701),('Data Form'!$E$6:$E$701),"F4",('Data Form'!$D$6:$D$701),"1")</f>
        <v>373571</v>
      </c>
      <c r="I80" s="181">
        <f>SUMIFS(('Data Form'!$I$6:$I$701),('Data Form'!$E$6:$E$701),"F4",('Data Form'!$D$6:$D$701),"1",('Data Form'!$H$6:$H$701), "SL" )</f>
        <v>373571</v>
      </c>
      <c r="J80" s="181">
        <f>SUMIFS(('Data Form'!$I$6:$I$701),('Data Form'!$E$6:$E$701),"F4",('Data Form'!$D$6:$D$701),"1",('Data Form'!$H$6:$H$701), "F" )</f>
        <v>0</v>
      </c>
      <c r="K80" s="190">
        <f t="shared" si="5"/>
        <v>373571</v>
      </c>
      <c r="M80" s="181">
        <f>ROUND(+I80*'Fringe Benefits'!$E$11,2)</f>
        <v>150636.48000000001</v>
      </c>
      <c r="N80" s="181">
        <f>ROUND(+J80*'Fringe Benefits'!$E$11,2)</f>
        <v>0</v>
      </c>
    </row>
    <row r="81" spans="1:14" ht="15.75" x14ac:dyDescent="0.3">
      <c r="A81" s="189" t="s">
        <v>311</v>
      </c>
      <c r="F81" s="178"/>
      <c r="G81" s="212"/>
      <c r="H81" s="181">
        <f>SUMIF(('Data Form'!$E$6:$E$701), "F4", 'Data Form'!I$6:I$701)-H80</f>
        <v>0</v>
      </c>
      <c r="I81" s="181">
        <f>SUMIFS(('Data Form'!$I$6:$I$701),('Data Form'!$E$6:$E$701), "F4", ('Data Form'!H$6:H$701), "SL")-I80</f>
        <v>0</v>
      </c>
      <c r="J81" s="181">
        <f>SUMIFS(('Data Form'!$I$6:$I$701),('Data Form'!$E$6:$E$701), "F4", ('Data Form'!H$6:H$701), "F")-J80</f>
        <v>0</v>
      </c>
      <c r="K81" s="190">
        <f t="shared" si="5"/>
        <v>0</v>
      </c>
    </row>
    <row r="82" spans="1:14" ht="15.75" x14ac:dyDescent="0.3">
      <c r="A82" s="189" t="s">
        <v>312</v>
      </c>
      <c r="F82" s="177">
        <v>0</v>
      </c>
      <c r="G82" s="212" t="s">
        <v>259</v>
      </c>
      <c r="H82" s="181">
        <f>SUMIFS(('Data Form'!$I$6:$I$701),('Data Form'!$E$6:$E$701),"F5",('Data Form'!$D$6:$D$701),"1")</f>
        <v>207000</v>
      </c>
      <c r="I82" s="181">
        <f>SUMIFS(('Data Form'!$I$6:$I$701),('Data Form'!$E$6:$E$701),"F5",('Data Form'!$D$6:$D$701),"1",('Data Form'!$H$6:$H$701), "SL" )</f>
        <v>207000</v>
      </c>
      <c r="J82" s="181">
        <f>SUMIFS(('Data Form'!$I$6:$I$701),('Data Form'!$E$6:$E$701),"F5",('Data Form'!$D$6:$D$701),"1",('Data Form'!$H$6:$H$701), "F" )</f>
        <v>0</v>
      </c>
      <c r="K82" s="190">
        <f t="shared" si="5"/>
        <v>207000</v>
      </c>
      <c r="M82" s="181">
        <f>ROUND(+I82*'Fringe Benefits'!$E$11,2)</f>
        <v>83469.41</v>
      </c>
      <c r="N82" s="181">
        <f>ROUND(+J82*'Fringe Benefits'!$E$11,2)</f>
        <v>0</v>
      </c>
    </row>
    <row r="83" spans="1:14" ht="15.75" x14ac:dyDescent="0.3">
      <c r="A83" s="189" t="s">
        <v>313</v>
      </c>
      <c r="F83" s="178"/>
      <c r="G83" s="212"/>
      <c r="H83" s="181">
        <f>SUMIF(('Data Form'!$E$6:$E$701), "F5", 'Data Form'!I$6:I$701)-H82</f>
        <v>3280</v>
      </c>
      <c r="I83" s="181">
        <f>SUMIFS(('Data Form'!$I$6:$I$701),('Data Form'!$E$6:$E$701), "F5", ('Data Form'!H$6:H$701), "SL")-I82</f>
        <v>3280</v>
      </c>
      <c r="J83" s="181">
        <f>SUMIFS(('Data Form'!$I$6:$I$701),('Data Form'!$E$6:$E$701), "F5", ('Data Form'!H$6:H$701), "F")-J82</f>
        <v>0</v>
      </c>
      <c r="K83" s="190">
        <f t="shared" si="5"/>
        <v>3280</v>
      </c>
    </row>
    <row r="84" spans="1:14" ht="15.75" x14ac:dyDescent="0.3">
      <c r="A84" s="189" t="s">
        <v>314</v>
      </c>
      <c r="F84" s="177">
        <v>13</v>
      </c>
      <c r="G84" s="212" t="s">
        <v>260</v>
      </c>
      <c r="H84" s="181">
        <f>SUMIFS(('Data Form'!$I$6:$I$701),('Data Form'!$E$6:$E$701),"F6",('Data Form'!$D$6:$D$701),"1")</f>
        <v>949828</v>
      </c>
      <c r="I84" s="181">
        <f>SUMIFS(('Data Form'!$I$6:$I$701),('Data Form'!$E$6:$E$701),"F6",('Data Form'!$D$6:$D$701),"1",('Data Form'!$H$6:$H$701), "SL" )</f>
        <v>949828</v>
      </c>
      <c r="J84" s="181">
        <f>SUMIFS(('Data Form'!$I$6:$I$701),('Data Form'!$E$6:$E$701),"F6",('Data Form'!$D$6:$D$701),"1",('Data Form'!$H$6:$H$701), "F" )</f>
        <v>0</v>
      </c>
      <c r="K84" s="190">
        <f t="shared" si="5"/>
        <v>949828</v>
      </c>
      <c r="M84" s="181">
        <f>ROUND(+I84*'Fringe Benefits'!$E$11,2)</f>
        <v>383002.81</v>
      </c>
      <c r="N84" s="181">
        <f>ROUND(+J84*'Fringe Benefits'!$E$11,2)</f>
        <v>0</v>
      </c>
    </row>
    <row r="85" spans="1:14" ht="15.75" x14ac:dyDescent="0.3">
      <c r="A85" s="189" t="s">
        <v>315</v>
      </c>
      <c r="F85" s="208"/>
      <c r="G85" s="212"/>
      <c r="H85" s="181">
        <f>SUMIF(('Data Form'!$E$6:$E$701), "F6", 'Data Form'!I$6:I$701)-H84</f>
        <v>0</v>
      </c>
      <c r="I85" s="181">
        <f>SUMIFS(('Data Form'!$I$6:$I$701),('Data Form'!$E$6:$E$701), "F6", ('Data Form'!H$6:H$701), "SL")-I84</f>
        <v>0</v>
      </c>
      <c r="J85" s="181">
        <f>SUMIFS(('Data Form'!$I$6:$I$701),('Data Form'!$E$6:$E$701), "F6", ('Data Form'!H$6:H$701), "F")-J84</f>
        <v>0</v>
      </c>
      <c r="K85" s="190">
        <f t="shared" si="5"/>
        <v>0</v>
      </c>
    </row>
    <row r="86" spans="1:14" ht="16.5" thickBot="1" x14ac:dyDescent="0.35">
      <c r="A86" s="189" t="s">
        <v>119</v>
      </c>
      <c r="F86" s="213"/>
      <c r="G86" s="183" t="s">
        <v>261</v>
      </c>
      <c r="H86" s="181">
        <f>+I86+J86</f>
        <v>678387.75</v>
      </c>
      <c r="I86" s="190">
        <f>+M86</f>
        <v>678387.75</v>
      </c>
      <c r="J86" s="190">
        <f>+N86</f>
        <v>0</v>
      </c>
      <c r="K86" s="190">
        <f>+M86+N86</f>
        <v>678387.75</v>
      </c>
      <c r="M86" s="192">
        <f>SUM(M74:M85)</f>
        <v>678387.75</v>
      </c>
      <c r="N86" s="192">
        <f>SUM(N74:N85)</f>
        <v>0</v>
      </c>
    </row>
    <row r="87" spans="1:14" ht="17.25" thickTop="1" thickBot="1" x14ac:dyDescent="0.35">
      <c r="A87" s="209" t="s">
        <v>120</v>
      </c>
      <c r="F87" s="192">
        <f>SUM(F74:F86)</f>
        <v>19</v>
      </c>
      <c r="H87" s="192">
        <f>SUM(H74:H86)</f>
        <v>2478313.75</v>
      </c>
      <c r="I87" s="192">
        <f>SUM(I74:I86)</f>
        <v>2478313.75</v>
      </c>
      <c r="J87" s="192">
        <f>SUM(J74:J86)</f>
        <v>0</v>
      </c>
      <c r="K87" s="192">
        <f>SUM(K74:K86)</f>
        <v>2478313.75</v>
      </c>
    </row>
    <row r="88" spans="1:14" ht="15.75" thickTop="1" x14ac:dyDescent="0.25"/>
    <row r="90" spans="1:14" x14ac:dyDescent="0.25">
      <c r="A90" s="182" t="s">
        <v>331</v>
      </c>
    </row>
    <row r="91" spans="1:14" x14ac:dyDescent="0.25">
      <c r="A91" s="182" t="s">
        <v>332</v>
      </c>
      <c r="H91" s="181">
        <f>SUMIFS(('Data Form'!$I$6:$I$701),('Data Form'!$E$6:$E$701),"S",('Data Form'!$D$6:$D$701),"1")</f>
        <v>30088371.43</v>
      </c>
      <c r="I91" s="181">
        <f>SUMIFS(('Data Form'!$I$6:$I$701),('Data Form'!$E$6:$E$701),"S",('Data Form'!$D$6:$D$701),"1",('Data Form'!$H$6:$H$701), "SL" )</f>
        <v>29243866</v>
      </c>
      <c r="J91" s="181">
        <f>SUMIFS(('Data Form'!$I$6:$I$701),('Data Form'!$E$6:$E$701),"S",('Data Form'!$D$6:$D$701),"1",('Data Form'!$H$6:$H$701), "F" )</f>
        <v>844505.42999999993</v>
      </c>
      <c r="K91" s="190">
        <f>I91+J91</f>
        <v>30088371.43</v>
      </c>
      <c r="M91" s="181">
        <f>ROUND(+I91*'Fringe Benefits'!$E$11,2)</f>
        <v>11792117.039999999</v>
      </c>
      <c r="N91" s="181">
        <f>ROUND(+J91*'Fringe Benefits'!$E$11,2)</f>
        <v>340533.19</v>
      </c>
    </row>
    <row r="92" spans="1:14" x14ac:dyDescent="0.25">
      <c r="A92" s="182" t="s">
        <v>333</v>
      </c>
      <c r="H92" s="181">
        <f>SUMIF(('Data Form'!$E$6:$E$701), "S", 'Data Form'!I$6:I$701)-H91</f>
        <v>2857668</v>
      </c>
      <c r="I92" s="181">
        <f>SUMIFS(('Data Form'!$I$6:$I$701),('Data Form'!$E$6:$E$701), "S", ('Data Form'!H$6:H$701), "SL")-I91</f>
        <v>2769920</v>
      </c>
      <c r="J92" s="181">
        <f>SUMIFS(('Data Form'!$I$6:$I$701),('Data Form'!$E$6:$E$701), "S", ('Data Form'!H$6:H$701), "F")-J91</f>
        <v>87748</v>
      </c>
      <c r="K92" s="190">
        <f>I92+J92</f>
        <v>2857668</v>
      </c>
    </row>
    <row r="93" spans="1:14" x14ac:dyDescent="0.25">
      <c r="A93" s="182" t="s">
        <v>334</v>
      </c>
      <c r="H93" s="310">
        <f>M91+N91</f>
        <v>12132650.229999999</v>
      </c>
      <c r="I93" s="322">
        <f>H93-J93+15323</f>
        <v>12122871.229999999</v>
      </c>
      <c r="J93" s="323">
        <f>SUMIFS(('Data Form'!$I$6:$I$701),('Data Form'!$D$6:$D$701), "8", ('Data Form'!H$6:H$701), "F")-15323</f>
        <v>25102</v>
      </c>
      <c r="K93" s="313">
        <f>+I93+J93</f>
        <v>12147973.229999999</v>
      </c>
    </row>
    <row r="94" spans="1:14" x14ac:dyDescent="0.25">
      <c r="A94" s="182" t="s">
        <v>21</v>
      </c>
      <c r="H94" s="214">
        <f>SUM(H91:H93)</f>
        <v>45078689.659999996</v>
      </c>
      <c r="I94" s="214">
        <f>SUM(I91:I93)</f>
        <v>44136657.229999997</v>
      </c>
      <c r="J94" s="214">
        <f>SUM(J91:J93)</f>
        <v>957355.42999999993</v>
      </c>
      <c r="K94" s="214">
        <f>SUM(K91:K93)</f>
        <v>45094012.659999996</v>
      </c>
    </row>
    <row r="95" spans="1:14" x14ac:dyDescent="0.25">
      <c r="H95" s="215"/>
      <c r="I95" s="215"/>
      <c r="J95" s="215"/>
      <c r="K95" s="215"/>
    </row>
    <row r="96" spans="1:14" ht="15.75" thickBot="1" x14ac:dyDescent="0.3">
      <c r="A96" s="183" t="s">
        <v>20</v>
      </c>
      <c r="H96" s="216">
        <f>H23+H52+H71+H87+H94</f>
        <v>71339145.090000004</v>
      </c>
      <c r="I96" s="216">
        <f>I23+I52+I71+I87+I94</f>
        <v>70095648.120000005</v>
      </c>
      <c r="J96" s="216">
        <f>J23+J52+J71+J87+J94</f>
        <v>1258819.97</v>
      </c>
      <c r="K96" s="216">
        <f>K23+K52+K71+K87+K94</f>
        <v>71354468.090000004</v>
      </c>
    </row>
    <row r="97" spans="1:16" ht="15.75" thickTop="1" x14ac:dyDescent="0.25"/>
    <row r="98" spans="1:16" x14ac:dyDescent="0.25">
      <c r="A98" s="182" t="s">
        <v>417</v>
      </c>
      <c r="H98" s="181">
        <f>+H23+H52</f>
        <v>15477460.219999999</v>
      </c>
      <c r="I98" s="181">
        <f>+I23+I52</f>
        <v>15175995.68</v>
      </c>
      <c r="J98" s="181">
        <f>+J23+J52</f>
        <v>301464.53999999998</v>
      </c>
      <c r="K98" s="181">
        <f>+K23+K52</f>
        <v>15477460.219999999</v>
      </c>
    </row>
    <row r="99" spans="1:16" x14ac:dyDescent="0.25">
      <c r="A99" t="s">
        <v>460</v>
      </c>
      <c r="B99"/>
      <c r="C99"/>
      <c r="D99"/>
      <c r="E99"/>
      <c r="F99"/>
      <c r="G99"/>
      <c r="H99" s="310">
        <f>'Fringe Benefits'!E8</f>
        <v>1650000</v>
      </c>
      <c r="I99" s="310">
        <f>H99-J99</f>
        <v>1650000</v>
      </c>
      <c r="J99" s="310">
        <f>+'Fringe Benefits'!I9</f>
        <v>0</v>
      </c>
      <c r="K99" s="310">
        <f>+I99+J99</f>
        <v>1650000</v>
      </c>
    </row>
    <row r="100" spans="1:16" s="183" customFormat="1" ht="15.75" thickBot="1" x14ac:dyDescent="0.3">
      <c r="A100" s="183" t="s">
        <v>418</v>
      </c>
      <c r="H100" s="312">
        <f>+H96-H98+H99</f>
        <v>57511684.870000005</v>
      </c>
      <c r="I100" s="312">
        <f t="shared" ref="I100:K100" si="6">+I96-I98+I99</f>
        <v>56569652.440000005</v>
      </c>
      <c r="J100" s="312">
        <f t="shared" si="6"/>
        <v>957355.42999999993</v>
      </c>
      <c r="K100" s="312">
        <f t="shared" si="6"/>
        <v>57527007.870000005</v>
      </c>
      <c r="M100" s="217"/>
      <c r="N100" s="217"/>
      <c r="O100" s="217"/>
      <c r="P100" s="217"/>
    </row>
    <row r="101" spans="1:16" ht="15.75" thickTop="1" x14ac:dyDescent="0.25"/>
  </sheetData>
  <mergeCells count="4">
    <mergeCell ref="A1:N1"/>
    <mergeCell ref="F11:G11"/>
    <mergeCell ref="P27:R27"/>
    <mergeCell ref="P28:R33"/>
  </mergeCells>
  <printOptions horizontalCentered="1" verticalCentered="1"/>
  <pageMargins left="0" right="0" top="0.25" bottom="0.25" header="0.3" footer="0.3"/>
  <pageSetup paperSize="5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B01D-25FD-412E-BBD5-29A7AA5E9AFD}">
  <sheetPr>
    <tabColor rgb="FFFFFF00"/>
    <pageSetUpPr fitToPage="1"/>
  </sheetPr>
  <dimension ref="A1:Z50"/>
  <sheetViews>
    <sheetView topLeftCell="A29" workbookViewId="0">
      <selection activeCell="H39" sqref="H39"/>
    </sheetView>
  </sheetViews>
  <sheetFormatPr defaultRowHeight="15" x14ac:dyDescent="0.25"/>
  <cols>
    <col min="1" max="1" width="39.85546875" customWidth="1"/>
    <col min="2" max="2" width="9.140625" style="27"/>
    <col min="3" max="3" width="8.42578125" customWidth="1"/>
    <col min="4" max="4" width="15" customWidth="1"/>
    <col min="5" max="5" width="13.28515625" customWidth="1"/>
    <col min="7" max="7" width="14.85546875" customWidth="1"/>
    <col min="8" max="8" width="16.5703125" customWidth="1"/>
    <col min="9" max="9" width="15" customWidth="1"/>
    <col min="10" max="10" width="13.140625" customWidth="1"/>
    <col min="11" max="11" width="15.28515625" customWidth="1"/>
    <col min="12" max="23" width="13.7109375" customWidth="1"/>
    <col min="24" max="24" width="5.7109375" customWidth="1"/>
    <col min="25" max="25" width="15.42578125" customWidth="1"/>
    <col min="26" max="26" width="11.5703125" customWidth="1"/>
  </cols>
  <sheetData>
    <row r="1" spans="1:26" ht="32.25" x14ac:dyDescent="0.4">
      <c r="A1" s="88" t="s">
        <v>386</v>
      </c>
      <c r="G1" s="72" t="str">
        <f>'Data Form'!L5</f>
        <v>High School</v>
      </c>
      <c r="H1" s="72" t="str">
        <f>'Data Form'!M5</f>
        <v>Middle School</v>
      </c>
      <c r="I1" s="72" t="str">
        <f>'Data Form'!N5</f>
        <v>Charlton Heights</v>
      </c>
      <c r="J1" s="72" t="str">
        <f>'Data Form'!O5</f>
        <v>Pashley</v>
      </c>
      <c r="K1" s="72" t="str">
        <f>'Data Form'!P5</f>
        <v>Stevens</v>
      </c>
      <c r="L1" s="72" t="str">
        <f>'Data Form'!Q5</f>
        <v>School #6</v>
      </c>
      <c r="M1" s="72" t="str">
        <f>'Data Form'!R5</f>
        <v>School #7</v>
      </c>
      <c r="N1" s="72" t="str">
        <f>'Data Form'!S5</f>
        <v>School #8</v>
      </c>
      <c r="O1" s="72" t="str">
        <f>'Data Form'!T5</f>
        <v>School #9</v>
      </c>
      <c r="P1" s="72" t="str">
        <f>'Data Form'!U5</f>
        <v>School #10</v>
      </c>
      <c r="Q1" s="72" t="str">
        <f>'Data Form'!V5</f>
        <v>School #11</v>
      </c>
      <c r="R1" s="72" t="str">
        <f>'Data Form'!W5</f>
        <v>School #12</v>
      </c>
      <c r="S1" s="72" t="str">
        <f>'Data Form'!X5</f>
        <v>School #13</v>
      </c>
      <c r="T1" s="72" t="str">
        <f>'Data Form'!Y5</f>
        <v>School #14</v>
      </c>
      <c r="U1" s="72" t="str">
        <f>'Data Form'!Z5</f>
        <v>School #15</v>
      </c>
      <c r="V1" s="72" t="str">
        <f>'Data Form'!AA5</f>
        <v>School #16</v>
      </c>
      <c r="W1" s="72" t="str">
        <f>'Data Form'!AB5</f>
        <v>School #17</v>
      </c>
      <c r="X1" s="72"/>
      <c r="Y1" s="72" t="s">
        <v>21</v>
      </c>
      <c r="Z1" s="71" t="s">
        <v>270</v>
      </c>
    </row>
    <row r="2" spans="1:26" x14ac:dyDescent="0.25">
      <c r="A2" s="104" t="s">
        <v>385</v>
      </c>
    </row>
    <row r="3" spans="1:26" x14ac:dyDescent="0.25">
      <c r="A3" t="s">
        <v>165</v>
      </c>
      <c r="B3" s="27" t="s">
        <v>319</v>
      </c>
      <c r="D3" s="1">
        <f>SUMIF(('Data Form'!$F$6:$F$686),"H1",('Data Form'!I6:I686))</f>
        <v>25014480.43</v>
      </c>
      <c r="E3" s="1"/>
      <c r="F3" s="1"/>
      <c r="G3" s="1">
        <f>SUMIF(('Data Form'!$F$6:$F$686),"H1",('Data Form'!L6:L686))</f>
        <v>7890363.9643333498</v>
      </c>
      <c r="H3" s="1">
        <f>SUMIF(('Data Form'!$F$6:$F$686),"H1",('Data Form'!M6:M686))</f>
        <v>6063619.0676599331</v>
      </c>
      <c r="I3" s="1">
        <f>SUMIF(('Data Form'!$F$6:$F$686),"H1",('Data Form'!N6:N686))</f>
        <v>3508710.0673077744</v>
      </c>
      <c r="J3" s="1">
        <f>SUMIF(('Data Form'!$F$6:$F$686),"H1",('Data Form'!O6:O686))</f>
        <v>3794210.745644819</v>
      </c>
      <c r="K3" s="1">
        <f>SUMIF(('Data Form'!$F$6:$F$686),"H1",('Data Form'!P6:P686))</f>
        <v>3757576.5850541238</v>
      </c>
      <c r="L3" s="1">
        <f>SUMIF(('Data Form'!$F$6:$F$686),"H1",('Data Form'!Q6:Q686))</f>
        <v>0</v>
      </c>
      <c r="M3" s="1">
        <f>SUMIF(('Data Form'!$F$6:$F$686),"H1",('Data Form'!R6:R686))</f>
        <v>0</v>
      </c>
      <c r="N3" s="1">
        <f>SUMIF(('Data Form'!$F$6:$F$686),"H1",('Data Form'!S6:S686))</f>
        <v>0</v>
      </c>
      <c r="O3" s="1">
        <f>SUMIF(('Data Form'!$F$6:$F$686),"H1",('Data Form'!T6:T686))</f>
        <v>0</v>
      </c>
      <c r="P3" s="1">
        <f>SUMIF(('Data Form'!$F$6:$F$686),"H1",('Data Form'!U6:U686))</f>
        <v>0</v>
      </c>
      <c r="Q3" s="1">
        <f>SUMIF(('Data Form'!$F$6:$F$686),"H1",('Data Form'!V6:V686))</f>
        <v>0</v>
      </c>
      <c r="R3" s="1">
        <f>SUMIF(('Data Form'!$F$6:$F$686),"H1",('Data Form'!W6:W686))</f>
        <v>0</v>
      </c>
      <c r="S3" s="1">
        <f>SUMIF(('Data Form'!$F$6:$F$686),"H1",('Data Form'!X6:X686))</f>
        <v>0</v>
      </c>
      <c r="T3" s="1">
        <f>SUMIF(('Data Form'!$F$6:$F$686),"H1",('Data Form'!Y6:Y686))</f>
        <v>0</v>
      </c>
      <c r="U3" s="1">
        <f>SUMIF(('Data Form'!$F$6:$F$686),"H1",('Data Form'!Z6:Z686))</f>
        <v>0</v>
      </c>
      <c r="V3" s="1">
        <f>SUMIF(('Data Form'!$F$6:$F$686),"H1",('Data Form'!AA6:AA686))</f>
        <v>0</v>
      </c>
      <c r="W3" s="1">
        <f>SUMIF(('Data Form'!$F$6:$F$686),"H1",('Data Form'!AB6:AB686))</f>
        <v>0</v>
      </c>
      <c r="X3" s="1"/>
      <c r="Y3" s="1">
        <f>SUM(G3:X3)</f>
        <v>25014480.43</v>
      </c>
      <c r="Z3" s="1">
        <f>Y3-D3</f>
        <v>0</v>
      </c>
    </row>
    <row r="4" spans="1:26" x14ac:dyDescent="0.25">
      <c r="A4" t="s">
        <v>166</v>
      </c>
      <c r="B4" s="27" t="s">
        <v>320</v>
      </c>
      <c r="D4" s="1">
        <f>SUMIF(('Data Form'!$F$6:$F$686),"H2",('Data Form'!I6:I686))</f>
        <v>5073891</v>
      </c>
      <c r="E4" s="1"/>
      <c r="F4" s="1"/>
      <c r="G4" s="1">
        <f>SUMIF(('Data Form'!$F$6:$F$686),"H2",('Data Form'!L6:L686))</f>
        <v>2224445.0520287957</v>
      </c>
      <c r="H4" s="1">
        <f>SUMIF(('Data Form'!$F$6:$F$686),"H2",('Data Form'!M6:M686))</f>
        <v>1089000.2133507854</v>
      </c>
      <c r="I4" s="1">
        <f>SUMIF(('Data Form'!$F$6:$F$686),"H2",('Data Form'!N6:N686))</f>
        <v>551627.41982984287</v>
      </c>
      <c r="J4" s="1">
        <f>SUMIF(('Data Form'!$F$6:$F$686),"H2",('Data Form'!O6:O686))</f>
        <v>575489.28043193719</v>
      </c>
      <c r="K4" s="1">
        <f>SUMIF(('Data Form'!$F$6:$F$686),"H2",('Data Form'!P6:P686))</f>
        <v>633329.03435863869</v>
      </c>
      <c r="L4" s="1">
        <f>SUMIF(('Data Form'!$F$6:$F$686),"H2",('Data Form'!Q6:Q686))</f>
        <v>0</v>
      </c>
      <c r="M4" s="1">
        <f>SUMIF(('Data Form'!$F$6:$F$686),"H2",('Data Form'!R6:R686))</f>
        <v>0</v>
      </c>
      <c r="N4" s="1">
        <f>SUMIF(('Data Form'!$F$6:$F$686),"H2",('Data Form'!S6:S686))</f>
        <v>0</v>
      </c>
      <c r="O4" s="1">
        <f>SUMIF(('Data Form'!$F$6:$F$686),"H2",('Data Form'!T6:T686))</f>
        <v>0</v>
      </c>
      <c r="P4" s="1">
        <f>SUMIF(('Data Form'!$F$6:$F$686),"H2",('Data Form'!U6:U686))</f>
        <v>0</v>
      </c>
      <c r="Q4" s="1">
        <f>SUMIF(('Data Form'!$F$6:$F$686),"H2",('Data Form'!V6:V686))</f>
        <v>0</v>
      </c>
      <c r="R4" s="1">
        <f>SUMIF(('Data Form'!$F$6:$F$686),"H2",('Data Form'!W6:W686))</f>
        <v>0</v>
      </c>
      <c r="S4" s="1">
        <f>SUMIF(('Data Form'!$F$6:$F$686),"H2",('Data Form'!X6:X686))</f>
        <v>0</v>
      </c>
      <c r="T4" s="1">
        <f>SUMIF(('Data Form'!$F$6:$F$686),"H2",('Data Form'!Y6:Y686))</f>
        <v>0</v>
      </c>
      <c r="U4" s="1">
        <f>SUMIF(('Data Form'!$F$6:$F$686),"H2",('Data Form'!Z6:Z686))</f>
        <v>0</v>
      </c>
      <c r="V4" s="1">
        <f>SUMIF(('Data Form'!$F$6:$F$686),"H2",('Data Form'!AA6:AA686))</f>
        <v>0</v>
      </c>
      <c r="W4" s="1">
        <f>SUMIF(('Data Form'!$F$6:$F$686),"H2",('Data Form'!AB6:AB686))</f>
        <v>0</v>
      </c>
      <c r="X4" s="1"/>
      <c r="Y4" s="1">
        <f>SUM(G4:X4)</f>
        <v>5073891</v>
      </c>
      <c r="Z4" s="1">
        <f>Y4-D4</f>
        <v>0</v>
      </c>
    </row>
    <row r="5" spans="1:26" x14ac:dyDescent="0.25">
      <c r="A5" t="s">
        <v>167</v>
      </c>
      <c r="B5" s="27" t="s">
        <v>321</v>
      </c>
      <c r="D5" s="1">
        <f>SUM(D3:D4)*'Fringe Benefits'!$E$11</f>
        <v>12132650.229755994</v>
      </c>
      <c r="E5" s="1"/>
      <c r="F5" s="1"/>
      <c r="G5" s="1">
        <f>SUM(G3:G4)*'Fringe Benefits'!$E$11</f>
        <v>4078633.5086898445</v>
      </c>
      <c r="H5" s="1">
        <f>SUM(H3:H4)*'Fringe Benefits'!$E$11</f>
        <v>2884178.3000786309</v>
      </c>
      <c r="I5" s="1">
        <f>SUM(I3:I4)*'Fringe Benefits'!$E$11</f>
        <v>1637265.5682217856</v>
      </c>
      <c r="J5" s="1">
        <f>SUM(J3:J4)*'Fringe Benefits'!$E$11</f>
        <v>1762011.0197285253</v>
      </c>
      <c r="K5" s="1">
        <f>SUM(K3:K4)*'Fringe Benefits'!$E$11</f>
        <v>1770561.8330372071</v>
      </c>
      <c r="L5" s="1">
        <f>SUM(L3:L4)*'Fringe Benefits'!$E$11</f>
        <v>0</v>
      </c>
      <c r="M5" s="1">
        <f>SUM(M3:M4)*'Fringe Benefits'!$E$11</f>
        <v>0</v>
      </c>
      <c r="N5" s="1">
        <f>SUM(N3:N4)*'Fringe Benefits'!$E$11</f>
        <v>0</v>
      </c>
      <c r="O5" s="1">
        <f>SUM(O3:O4)*'Fringe Benefits'!$E$11</f>
        <v>0</v>
      </c>
      <c r="P5" s="1">
        <f>SUM(P3:P4)*'Fringe Benefits'!$E$11</f>
        <v>0</v>
      </c>
      <c r="Q5" s="1">
        <f>SUM(Q3:Q4)*'Fringe Benefits'!$E$11</f>
        <v>0</v>
      </c>
      <c r="R5" s="1">
        <f>SUM(R3:R4)*'Fringe Benefits'!$E$11</f>
        <v>0</v>
      </c>
      <c r="S5" s="1">
        <f>SUM(S3:S4)*'Fringe Benefits'!$E$11</f>
        <v>0</v>
      </c>
      <c r="T5" s="1">
        <f>SUM(T3:T4)*'Fringe Benefits'!$E$11</f>
        <v>0</v>
      </c>
      <c r="U5" s="1">
        <f>SUM(U3:U4)*'Fringe Benefits'!$E$11</f>
        <v>0</v>
      </c>
      <c r="V5" s="1">
        <f>SUM(V3:V4)*'Fringe Benefits'!$E$11</f>
        <v>0</v>
      </c>
      <c r="W5" s="1">
        <f>SUM(W3:W4)*'Fringe Benefits'!$E$11</f>
        <v>0</v>
      </c>
      <c r="X5" s="1"/>
      <c r="Y5" s="1">
        <f>SUM(G5:X5)</f>
        <v>12132650.229755992</v>
      </c>
      <c r="Z5" s="1">
        <f>Y5-D5</f>
        <v>0</v>
      </c>
    </row>
    <row r="6" spans="1:26" x14ac:dyDescent="0.25">
      <c r="A6" t="s">
        <v>3</v>
      </c>
      <c r="B6" s="27" t="s">
        <v>322</v>
      </c>
      <c r="D6" s="1">
        <f>SUMIF(('Data Form'!$F$6:$F$686),"H4",('Data Form'!I6:I686))</f>
        <v>373120</v>
      </c>
      <c r="E6" s="1"/>
      <c r="F6" s="1"/>
      <c r="G6" s="1">
        <f>SUMIF(('Data Form'!$F$6:$F$686),"H4",('Data Form'!L6:L686))</f>
        <v>115579.44862565445</v>
      </c>
      <c r="H6" s="1">
        <f>SUMIF(('Data Form'!$F$6:$F$686),"H4",('Data Form'!M6:M686))</f>
        <v>84480.226439790567</v>
      </c>
      <c r="I6" s="1">
        <f>SUMIF(('Data Form'!$F$6:$F$686),"H4",('Data Form'!N6:N686))</f>
        <v>52939.667212041888</v>
      </c>
      <c r="J6" s="1">
        <f>SUMIF(('Data Form'!$F$6:$F$686),"H4",('Data Form'!O6:O686))</f>
        <v>58779.729384816754</v>
      </c>
      <c r="K6" s="1">
        <f>SUMIF(('Data Form'!$F$6:$F$686),"H4",('Data Form'!P6:P686))</f>
        <v>61340.928337696336</v>
      </c>
      <c r="L6" s="1">
        <f>SUMIF(('Data Form'!$F$6:$F$686),"H4",('Data Form'!Q6:Q686))</f>
        <v>0</v>
      </c>
      <c r="M6" s="1">
        <f>SUMIF(('Data Form'!$F$6:$F$686),"H4",('Data Form'!R6:R686))</f>
        <v>0</v>
      </c>
      <c r="N6" s="1">
        <f>SUMIF(('Data Form'!$F$6:$F$686),"H4",('Data Form'!S6:S686))</f>
        <v>0</v>
      </c>
      <c r="O6" s="1">
        <f>SUMIF(('Data Form'!$F$6:$F$686),"H4",('Data Form'!T6:T686))</f>
        <v>0</v>
      </c>
      <c r="P6" s="1">
        <f>SUMIF(('Data Form'!$F$6:$F$686),"H4",('Data Form'!U6:U686))</f>
        <v>0</v>
      </c>
      <c r="Q6" s="1">
        <f>SUMIF(('Data Form'!$F$6:$F$686),"H4",('Data Form'!V6:V686))</f>
        <v>0</v>
      </c>
      <c r="R6" s="1">
        <f>SUMIF(('Data Form'!$F$6:$F$686),"H4",('Data Form'!W6:W686))</f>
        <v>0</v>
      </c>
      <c r="S6" s="1">
        <f>SUMIF(('Data Form'!$F$6:$F$686),"H4",('Data Form'!X6:X686))</f>
        <v>0</v>
      </c>
      <c r="T6" s="1">
        <f>SUMIF(('Data Form'!$F$6:$F$686),"H4",('Data Form'!Y6:Y686))</f>
        <v>0</v>
      </c>
      <c r="U6" s="1">
        <f>SUMIF(('Data Form'!$F$6:$F$686),"H4",('Data Form'!Z6:Z686))</f>
        <v>0</v>
      </c>
      <c r="V6" s="1">
        <f>SUMIF(('Data Form'!$F$6:$F$686),"H4",('Data Form'!AA6:AA686))</f>
        <v>0</v>
      </c>
      <c r="W6" s="1">
        <f>SUMIF(('Data Form'!$F$6:$F$686),"H4",('Data Form'!AB6:AB686))</f>
        <v>0</v>
      </c>
      <c r="X6" s="1"/>
      <c r="Y6" s="1">
        <f>SUM(G6:X6)</f>
        <v>373120</v>
      </c>
      <c r="Z6" s="1">
        <f>Y6-D6</f>
        <v>0</v>
      </c>
    </row>
    <row r="7" spans="1:26" x14ac:dyDescent="0.25">
      <c r="A7" t="s">
        <v>324</v>
      </c>
      <c r="B7" s="27" t="s">
        <v>323</v>
      </c>
      <c r="D7" s="1">
        <f>SUMIF(('Data Form'!$F$6:$F$686),"H5",('Data Form'!I6:I686))</f>
        <v>2484548</v>
      </c>
      <c r="E7" s="1"/>
      <c r="F7" s="1"/>
      <c r="G7" s="1">
        <f>SUMIF(('Data Form'!$F$6:$F$686),"H5",('Data Form'!L6:L686))</f>
        <v>1306479.0180402186</v>
      </c>
      <c r="H7" s="1">
        <f>SUMIF(('Data Form'!$F$6:$F$686),"H5",('Data Form'!M6:M686))</f>
        <v>375587.81531349628</v>
      </c>
      <c r="I7" s="1">
        <f>SUMIF(('Data Form'!$F$6:$F$686),"H5",('Data Form'!N6:N686))</f>
        <v>293612.38821378094</v>
      </c>
      <c r="J7" s="1">
        <f>SUMIF(('Data Form'!$F$6:$F$686),"H5",('Data Form'!O6:O686))</f>
        <v>300878.96433856332</v>
      </c>
      <c r="K7" s="1">
        <f>SUMIF(('Data Form'!$F$6:$F$686),"H5",('Data Form'!P6:P686))</f>
        <v>207989.8140939413</v>
      </c>
      <c r="L7" s="1">
        <f>SUMIF(('Data Form'!$F$6:$F$686),"H5",('Data Form'!Q6:Q686))</f>
        <v>0</v>
      </c>
      <c r="M7" s="1">
        <f>SUMIF(('Data Form'!$F$6:$F$686),"H5",('Data Form'!R6:R686))</f>
        <v>0</v>
      </c>
      <c r="N7" s="1">
        <f>SUMIF(('Data Form'!$F$6:$F$686),"H5",('Data Form'!S6:S686))</f>
        <v>0</v>
      </c>
      <c r="O7" s="1">
        <f>SUMIF(('Data Form'!$F$6:$F$686),"H5",('Data Form'!T6:T686))</f>
        <v>0</v>
      </c>
      <c r="P7" s="1">
        <f>SUMIF(('Data Form'!$F$6:$F$686),"H5",('Data Form'!U6:U686))</f>
        <v>0</v>
      </c>
      <c r="Q7" s="1">
        <f>SUMIF(('Data Form'!$F$6:$F$686),"H5",('Data Form'!V6:V686))</f>
        <v>0</v>
      </c>
      <c r="R7" s="1">
        <f>SUMIF(('Data Form'!$F$6:$F$686),"H5",('Data Form'!W6:W686))</f>
        <v>0</v>
      </c>
      <c r="S7" s="1">
        <f>SUMIF(('Data Form'!$F$6:$F$686),"H5",('Data Form'!X6:X686))</f>
        <v>0</v>
      </c>
      <c r="T7" s="1">
        <f>SUMIF(('Data Form'!$F$6:$F$686),"H5",('Data Form'!Y6:Y686))</f>
        <v>0</v>
      </c>
      <c r="U7" s="1">
        <f>SUMIF(('Data Form'!$F$6:$F$686),"H5",('Data Form'!Z6:Z686))</f>
        <v>0</v>
      </c>
      <c r="V7" s="1">
        <f>SUMIF(('Data Form'!$F$6:$F$686),"H5",('Data Form'!AA6:AA686))</f>
        <v>0</v>
      </c>
      <c r="W7" s="1">
        <f>SUMIF(('Data Form'!$F$6:$F$686),"H5",('Data Form'!AB6:AB686))</f>
        <v>0</v>
      </c>
      <c r="X7" s="1"/>
      <c r="Y7" s="1">
        <f>SUM(G7:X7)</f>
        <v>2484548.0000000005</v>
      </c>
      <c r="Z7" s="1">
        <f>Y7-D7</f>
        <v>0</v>
      </c>
    </row>
    <row r="8" spans="1:26" s="27" customFormat="1" ht="15.75" thickBot="1" x14ac:dyDescent="0.3">
      <c r="A8" s="27" t="s">
        <v>358</v>
      </c>
      <c r="D8" s="79">
        <f>SUM(D3:D7)</f>
        <v>45078689.65975599</v>
      </c>
      <c r="E8" s="80"/>
      <c r="F8" s="80"/>
      <c r="G8" s="79">
        <f t="shared" ref="G8:Z8" si="0">SUM(G3:G7)</f>
        <v>15615500.991717864</v>
      </c>
      <c r="H8" s="79">
        <f t="shared" si="0"/>
        <v>10496865.622842636</v>
      </c>
      <c r="I8" s="79">
        <f t="shared" si="0"/>
        <v>6044155.1107852254</v>
      </c>
      <c r="J8" s="79">
        <f t="shared" si="0"/>
        <v>6491369.7395286625</v>
      </c>
      <c r="K8" s="79">
        <f t="shared" si="0"/>
        <v>6430798.1948816059</v>
      </c>
      <c r="L8" s="79">
        <f t="shared" si="0"/>
        <v>0</v>
      </c>
      <c r="M8" s="79">
        <f t="shared" si="0"/>
        <v>0</v>
      </c>
      <c r="N8" s="79">
        <f t="shared" si="0"/>
        <v>0</v>
      </c>
      <c r="O8" s="79">
        <f t="shared" si="0"/>
        <v>0</v>
      </c>
      <c r="P8" s="79">
        <f t="shared" si="0"/>
        <v>0</v>
      </c>
      <c r="Q8" s="79">
        <f t="shared" si="0"/>
        <v>0</v>
      </c>
      <c r="R8" s="79">
        <f t="shared" si="0"/>
        <v>0</v>
      </c>
      <c r="S8" s="79">
        <f t="shared" si="0"/>
        <v>0</v>
      </c>
      <c r="T8" s="79">
        <f t="shared" si="0"/>
        <v>0</v>
      </c>
      <c r="U8" s="79">
        <f t="shared" si="0"/>
        <v>0</v>
      </c>
      <c r="V8" s="79">
        <f t="shared" si="0"/>
        <v>0</v>
      </c>
      <c r="W8" s="79">
        <f t="shared" si="0"/>
        <v>0</v>
      </c>
      <c r="X8" s="79"/>
      <c r="Y8" s="79">
        <f t="shared" si="0"/>
        <v>45078689.65975599</v>
      </c>
      <c r="Z8" s="79">
        <f t="shared" si="0"/>
        <v>0</v>
      </c>
    </row>
    <row r="9" spans="1:26" s="27" customFormat="1" ht="15.75" thickTop="1" x14ac:dyDescent="0.25">
      <c r="D9" s="82"/>
      <c r="E9" s="80"/>
      <c r="F9" s="80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0"/>
    </row>
    <row r="10" spans="1:26" x14ac:dyDescent="0.25">
      <c r="B10" s="27" t="s">
        <v>381</v>
      </c>
      <c r="D10" s="80">
        <f>'Fringe Benefits'!Z20</f>
        <v>45078689.65975599</v>
      </c>
      <c r="E10" s="83" t="s">
        <v>382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05" t="s">
        <v>387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t="s">
        <v>335</v>
      </c>
      <c r="B12" s="27" t="s">
        <v>325</v>
      </c>
      <c r="D12" s="1">
        <f>SUMIFS(('Data Form'!$I$6:$I$701),('Data Form'!$G$6:$G$701),"I1",('Data Form'!$D$6:$D$701),"1")</f>
        <v>18617062.43</v>
      </c>
      <c r="E12" s="1"/>
      <c r="F12" s="1"/>
      <c r="G12" s="1">
        <f>SUMIFS(('Data Form'!L$6:L$701),('Data Form'!$G$6:$G$701),"I1",('Data Form'!$D$6:$D$701),"1")</f>
        <v>6491472</v>
      </c>
      <c r="H12" s="1">
        <f>SUMIFS(('Data Form'!M$6:M$701),('Data Form'!$G$6:$G$701),"I1",('Data Form'!$D$6:$D$701),"1")</f>
        <v>4422159.43</v>
      </c>
      <c r="I12" s="1">
        <f>SUMIFS(('Data Form'!N$6:N$701),('Data Form'!$G$6:$G$701),"I1",('Data Form'!$D$6:$D$701),"1")</f>
        <v>2528928</v>
      </c>
      <c r="J12" s="1">
        <f>SUMIFS(('Data Form'!O$6:O$701),('Data Form'!$G$6:$G$701),"I1",('Data Form'!$D$6:$D$701),"1")</f>
        <v>2623780</v>
      </c>
      <c r="K12" s="1">
        <f>SUMIFS(('Data Form'!P$6:P$701),('Data Form'!$G$6:$G$701),"I1",('Data Form'!$D$6:$D$701),"1")</f>
        <v>2550723</v>
      </c>
      <c r="L12" s="1">
        <f>SUMIFS(('Data Form'!Q$6:Q$701),('Data Form'!$G$6:$G$701),"I1",('Data Form'!$D$6:$D$701),"1")</f>
        <v>0</v>
      </c>
      <c r="M12" s="1">
        <f>SUMIFS(('Data Form'!R$6:R$701),('Data Form'!$G$6:$G$701),"I1",('Data Form'!$D$6:$D$701),"1")</f>
        <v>0</v>
      </c>
      <c r="N12" s="1">
        <f>SUMIFS(('Data Form'!S$6:S$701),('Data Form'!$G$6:$G$701),"I1",('Data Form'!$D$6:$D$701),"1")</f>
        <v>0</v>
      </c>
      <c r="O12" s="1">
        <f>SUMIFS(('Data Form'!T$6:T$701),('Data Form'!$G$6:$G$701),"I1",('Data Form'!$D$6:$D$701),"1")</f>
        <v>0</v>
      </c>
      <c r="P12" s="1">
        <f>SUMIFS(('Data Form'!U$6:U$701),('Data Form'!$G$6:$G$701),"I1",('Data Form'!$D$6:$D$701),"1")</f>
        <v>0</v>
      </c>
      <c r="Q12" s="1">
        <f>SUMIFS(('Data Form'!V$6:V$701),('Data Form'!$G$6:$G$701),"I1",('Data Form'!$D$6:$D$701),"1")</f>
        <v>0</v>
      </c>
      <c r="R12" s="1">
        <f>SUMIFS(('Data Form'!W$6:W$701),('Data Form'!$G$6:$G$701),"I1",('Data Form'!$D$6:$D$701),"1")</f>
        <v>0</v>
      </c>
      <c r="S12" s="1">
        <f>SUMIFS(('Data Form'!X$6:X$701),('Data Form'!$G$6:$G$701),"I1",('Data Form'!$D$6:$D$701),"1")</f>
        <v>0</v>
      </c>
      <c r="T12" s="1">
        <f>SUMIFS(('Data Form'!Y$6:Y$701),('Data Form'!$G$6:$G$701),"I1",('Data Form'!$D$6:$D$701),"1")</f>
        <v>0</v>
      </c>
      <c r="U12" s="1">
        <f>SUMIFS(('Data Form'!Z$6:Z$701),('Data Form'!$G$6:$G$701),"I1",('Data Form'!$D$6:$D$701),"1")</f>
        <v>0</v>
      </c>
      <c r="V12" s="1">
        <f>SUMIFS(('Data Form'!AA$6:AA$701),('Data Form'!$G$6:$G$701),"I1",('Data Form'!$D$6:$D$701),"1")</f>
        <v>0</v>
      </c>
      <c r="W12" s="1">
        <f>SUMIFS(('Data Form'!AB$6:AB$701),('Data Form'!$G$6:$G$701),"I1",('Data Form'!$D$6:$D$701),"1")</f>
        <v>0</v>
      </c>
      <c r="X12" s="1"/>
      <c r="Y12" s="1">
        <f t="shared" ref="Y12:Y32" si="1">SUM(G12:X12)</f>
        <v>18617062.43</v>
      </c>
      <c r="Z12" s="1">
        <f t="shared" ref="Z12:Z32" si="2">Y12-D12</f>
        <v>0</v>
      </c>
    </row>
    <row r="13" spans="1:26" x14ac:dyDescent="0.25">
      <c r="A13" t="s">
        <v>351</v>
      </c>
      <c r="B13" s="27" t="s">
        <v>325</v>
      </c>
      <c r="D13" s="1">
        <f>D12*'Fringe Benefits'!$E$11</f>
        <v>7507029.9931059172</v>
      </c>
      <c r="E13" s="1"/>
      <c r="F13" s="1"/>
      <c r="G13" s="1">
        <f>G12*'Fringe Benefits'!$E$11</f>
        <v>2617581.3282378973</v>
      </c>
      <c r="H13" s="1">
        <f>H12*'Fringe Benefits'!$E$11</f>
        <v>1783164.4277999108</v>
      </c>
      <c r="I13" s="1">
        <f>I12*'Fringe Benefits'!$E$11</f>
        <v>1019749.4055674905</v>
      </c>
      <c r="J13" s="1">
        <f>J12*'Fringe Benefits'!$E$11</f>
        <v>1057996.9438987074</v>
      </c>
      <c r="K13" s="1">
        <f>K12*'Fringe Benefits'!$E$11</f>
        <v>1028537.8876019112</v>
      </c>
      <c r="L13" s="1">
        <f>L12*'Fringe Benefits'!$E$11</f>
        <v>0</v>
      </c>
      <c r="M13" s="1">
        <f>M12*'Fringe Benefits'!$E$11</f>
        <v>0</v>
      </c>
      <c r="N13" s="1">
        <f>N12*'Fringe Benefits'!$E$11</f>
        <v>0</v>
      </c>
      <c r="O13" s="1">
        <f>O12*'Fringe Benefits'!$E$11</f>
        <v>0</v>
      </c>
      <c r="P13" s="1">
        <f>P12*'Fringe Benefits'!$E$11</f>
        <v>0</v>
      </c>
      <c r="Q13" s="1">
        <f>Q12*'Fringe Benefits'!$E$11</f>
        <v>0</v>
      </c>
      <c r="R13" s="1">
        <f>R12*'Fringe Benefits'!$E$11</f>
        <v>0</v>
      </c>
      <c r="S13" s="1">
        <f>S12*'Fringe Benefits'!$E$11</f>
        <v>0</v>
      </c>
      <c r="T13" s="1">
        <f>T12*'Fringe Benefits'!$E$11</f>
        <v>0</v>
      </c>
      <c r="U13" s="1">
        <f>U12*'Fringe Benefits'!$E$11</f>
        <v>0</v>
      </c>
      <c r="V13" s="1">
        <f>V12*'Fringe Benefits'!$E$11</f>
        <v>0</v>
      </c>
      <c r="W13" s="1">
        <f>W12*'Fringe Benefits'!$E$11</f>
        <v>0</v>
      </c>
      <c r="X13" s="1"/>
      <c r="Y13" s="1">
        <f t="shared" si="1"/>
        <v>7507029.9931059172</v>
      </c>
      <c r="Z13" s="1">
        <f t="shared" si="2"/>
        <v>0</v>
      </c>
    </row>
    <row r="14" spans="1:26" x14ac:dyDescent="0.25">
      <c r="A14" t="s">
        <v>336</v>
      </c>
      <c r="B14" s="27" t="s">
        <v>325</v>
      </c>
      <c r="D14" s="1">
        <f>SUMIF(('Data Form'!$G$6:$G$701), "I1", 'Data Form'!I$6:I$701)-D12</f>
        <v>1526342</v>
      </c>
      <c r="E14" s="1"/>
      <c r="F14" s="1"/>
      <c r="G14" s="1">
        <f>SUMIF(('Data Form'!$G$6:$G$701), "I1", 'Data Form'!L$6:L$701)-G12</f>
        <v>902848.94840240851</v>
      </c>
      <c r="H14" s="1">
        <f>SUMIF(('Data Form'!$G$6:$G$701), "I1", 'Data Form'!M$6:M$701)-H12</f>
        <v>176425.1873640269</v>
      </c>
      <c r="I14" s="1">
        <f>SUMIF(('Data Form'!$G$6:$G$701), "I1", 'Data Form'!N$6:N$701)-I12</f>
        <v>144833.27127923118</v>
      </c>
      <c r="J14" s="1">
        <f>SUMIF(('Data Form'!$G$6:$G$701), "I1", 'Data Form'!O$6:O$701)-J12</f>
        <v>154291.81145167071</v>
      </c>
      <c r="K14" s="1">
        <f>SUMIF(('Data Form'!$G$6:$G$701), "I1", 'Data Form'!P$6:P$701)-K12</f>
        <v>147942.78150266176</v>
      </c>
      <c r="L14" s="1">
        <f>SUMIF(('Data Form'!$G$6:$G$701), "I1", 'Data Form'!Q$6:Q$701)-L12</f>
        <v>0</v>
      </c>
      <c r="M14" s="1">
        <f>SUMIF(('Data Form'!$G$6:$G$701), "I1", 'Data Form'!R$6:R$701)-M12</f>
        <v>0</v>
      </c>
      <c r="N14" s="1">
        <f>SUMIF(('Data Form'!$G$6:$G$701), "I1", 'Data Form'!S$6:S$701)-N12</f>
        <v>0</v>
      </c>
      <c r="O14" s="1">
        <f>SUMIF(('Data Form'!$G$6:$G$701), "I1", 'Data Form'!T$6:T$701)-O12</f>
        <v>0</v>
      </c>
      <c r="P14" s="1">
        <f>SUMIF(('Data Form'!$G$6:$G$701), "I1", 'Data Form'!U$6:U$701)-P12</f>
        <v>0</v>
      </c>
      <c r="Q14" s="1">
        <f>SUMIF(('Data Form'!$G$6:$G$701), "I1", 'Data Form'!V$6:V$701)-Q12</f>
        <v>0</v>
      </c>
      <c r="R14" s="1">
        <f>SUMIF(('Data Form'!$G$6:$G$701), "I1", 'Data Form'!W$6:W$701)-R12</f>
        <v>0</v>
      </c>
      <c r="S14" s="1">
        <f>SUMIF(('Data Form'!$G$6:$G$701), "I1", 'Data Form'!X$6:X$701)-S12</f>
        <v>0</v>
      </c>
      <c r="T14" s="1">
        <f>SUMIF(('Data Form'!$G$6:$G$701), "I1", 'Data Form'!Y$6:Y$701)-T12</f>
        <v>0</v>
      </c>
      <c r="U14" s="1">
        <f>SUMIF(('Data Form'!$G$6:$G$701), "I1", 'Data Form'!Z$6:Z$701)-U12</f>
        <v>0</v>
      </c>
      <c r="V14" s="1">
        <f>SUMIF(('Data Form'!$G$6:$G$701), "I1", 'Data Form'!AA$6:AA$701)-V12</f>
        <v>0</v>
      </c>
      <c r="W14" s="1">
        <f>SUMIF(('Data Form'!$G$6:$G$701), "I1", 'Data Form'!AB$6:AB$701)-W12</f>
        <v>0</v>
      </c>
      <c r="X14" s="1"/>
      <c r="Y14" s="1">
        <f t="shared" si="1"/>
        <v>1526341.9999999991</v>
      </c>
      <c r="Z14" s="1">
        <f t="shared" si="2"/>
        <v>0</v>
      </c>
    </row>
    <row r="15" spans="1:26" x14ac:dyDescent="0.25">
      <c r="A15" t="s">
        <v>339</v>
      </c>
      <c r="B15" s="27" t="s">
        <v>326</v>
      </c>
      <c r="D15" s="1">
        <f>SUMIFS(('Data Form'!$I$6:$I$701),('Data Form'!$G$6:$G$701),"I2",('Data Form'!$D$6:$D$701),"1")</f>
        <v>0</v>
      </c>
      <c r="E15" s="1"/>
      <c r="F15" s="1"/>
      <c r="G15" s="1">
        <f>SUMIFS(('Data Form'!L$6:L$701),('Data Form'!$G$6:$G$701),"I2",('Data Form'!$D$6:$D$701),"1")</f>
        <v>0</v>
      </c>
      <c r="H15" s="1">
        <f>SUMIFS(('Data Form'!M$6:M$701),('Data Form'!$G$6:$G$701),"I2",('Data Form'!$D$6:$D$701),"1")</f>
        <v>0</v>
      </c>
      <c r="I15" s="1">
        <f>SUMIFS(('Data Form'!N$6:N$701),('Data Form'!$G$6:$G$701),"I2",('Data Form'!$D$6:$D$701),"1")</f>
        <v>0</v>
      </c>
      <c r="J15" s="1">
        <f>SUMIFS(('Data Form'!O$6:O$701),('Data Form'!$G$6:$G$701),"I2",('Data Form'!$D$6:$D$701),"1")</f>
        <v>0</v>
      </c>
      <c r="K15" s="1">
        <f>SUMIFS(('Data Form'!P$6:P$701),('Data Form'!$G$6:$G$701),"I2",('Data Form'!$D$6:$D$701),"1")</f>
        <v>0</v>
      </c>
      <c r="L15" s="1">
        <f>SUMIFS(('Data Form'!Q$6:Q$701),('Data Form'!$G$6:$G$701),"I2",('Data Form'!$D$6:$D$701),"1")</f>
        <v>0</v>
      </c>
      <c r="M15" s="1">
        <f>SUMIFS(('Data Form'!R$6:R$701),('Data Form'!$G$6:$G$701),"I2",('Data Form'!$D$6:$D$701),"1")</f>
        <v>0</v>
      </c>
      <c r="N15" s="1">
        <f>SUMIFS(('Data Form'!S$6:S$701),('Data Form'!$G$6:$G$701),"I2",('Data Form'!$D$6:$D$701),"1")</f>
        <v>0</v>
      </c>
      <c r="O15" s="1">
        <f>SUMIFS(('Data Form'!T$6:T$701),('Data Form'!$G$6:$G$701),"I2",('Data Form'!$D$6:$D$701),"1")</f>
        <v>0</v>
      </c>
      <c r="P15" s="1">
        <f>SUMIFS(('Data Form'!U$6:U$701),('Data Form'!$G$6:$G$701),"I2",('Data Form'!$D$6:$D$701),"1")</f>
        <v>0</v>
      </c>
      <c r="Q15" s="1">
        <f>SUMIFS(('Data Form'!V$6:V$701),('Data Form'!$G$6:$G$701),"I2",('Data Form'!$D$6:$D$701),"1")</f>
        <v>0</v>
      </c>
      <c r="R15" s="1">
        <f>SUMIFS(('Data Form'!W$6:W$701),('Data Form'!$G$6:$G$701),"I2",('Data Form'!$D$6:$D$701),"1")</f>
        <v>0</v>
      </c>
      <c r="S15" s="1">
        <f>SUMIFS(('Data Form'!X$6:X$701),('Data Form'!$G$6:$G$701),"I2",('Data Form'!$D$6:$D$701),"1")</f>
        <v>0</v>
      </c>
      <c r="T15" s="1">
        <f>SUMIFS(('Data Form'!Y$6:Y$701),('Data Form'!$G$6:$G$701),"I2",('Data Form'!$D$6:$D$701),"1")</f>
        <v>0</v>
      </c>
      <c r="U15" s="1">
        <f>SUMIFS(('Data Form'!Z$6:Z$701),('Data Form'!$G$6:$G$701),"I2",('Data Form'!$D$6:$D$701),"1")</f>
        <v>0</v>
      </c>
      <c r="V15" s="1">
        <f>SUMIFS(('Data Form'!AA$6:AA$701),('Data Form'!$G$6:$G$701),"I2",('Data Form'!$D$6:$D$701),"1")</f>
        <v>0</v>
      </c>
      <c r="W15" s="1">
        <f>SUMIFS(('Data Form'!AB$6:AB$701),('Data Form'!$G$6:$G$701),"I2",('Data Form'!$D$6:$D$701),"1")</f>
        <v>0</v>
      </c>
      <c r="X15" s="1"/>
      <c r="Y15" s="1">
        <f t="shared" si="1"/>
        <v>0</v>
      </c>
      <c r="Z15" s="1">
        <f t="shared" si="2"/>
        <v>0</v>
      </c>
    </row>
    <row r="16" spans="1:26" x14ac:dyDescent="0.25">
      <c r="A16" t="s">
        <v>352</v>
      </c>
      <c r="B16" s="27" t="s">
        <v>326</v>
      </c>
      <c r="D16" s="1">
        <f>D15*'Fringe Benefits'!$E$11</f>
        <v>0</v>
      </c>
      <c r="E16" s="1"/>
      <c r="F16" s="1"/>
      <c r="G16" s="1">
        <f>G15*'Fringe Benefits'!$E$11</f>
        <v>0</v>
      </c>
      <c r="H16" s="1">
        <f>H15*'Fringe Benefits'!$E$11</f>
        <v>0</v>
      </c>
      <c r="I16" s="1">
        <f>I15*'Fringe Benefits'!$E$11</f>
        <v>0</v>
      </c>
      <c r="J16" s="1">
        <f>J15*'Fringe Benefits'!$E$11</f>
        <v>0</v>
      </c>
      <c r="K16" s="1">
        <f>K15*'Fringe Benefits'!$E$11</f>
        <v>0</v>
      </c>
      <c r="L16" s="1">
        <f>L15*'Fringe Benefits'!$E$11</f>
        <v>0</v>
      </c>
      <c r="M16" s="1">
        <f>M15*'Fringe Benefits'!$E$11</f>
        <v>0</v>
      </c>
      <c r="N16" s="1">
        <f>N15*'Fringe Benefits'!$E$11</f>
        <v>0</v>
      </c>
      <c r="O16" s="1">
        <f>O15*'Fringe Benefits'!$E$11</f>
        <v>0</v>
      </c>
      <c r="P16" s="1">
        <f>P15*'Fringe Benefits'!$E$11</f>
        <v>0</v>
      </c>
      <c r="Q16" s="1">
        <f>Q15*'Fringe Benefits'!$E$11</f>
        <v>0</v>
      </c>
      <c r="R16" s="1">
        <f>R15*'Fringe Benefits'!$E$11</f>
        <v>0</v>
      </c>
      <c r="S16" s="1">
        <f>S15*'Fringe Benefits'!$E$11</f>
        <v>0</v>
      </c>
      <c r="T16" s="1">
        <f>T15*'Fringe Benefits'!$E$11</f>
        <v>0</v>
      </c>
      <c r="U16" s="1">
        <f>U15*'Fringe Benefits'!$E$11</f>
        <v>0</v>
      </c>
      <c r="V16" s="1">
        <f>V15*'Fringe Benefits'!$E$11</f>
        <v>0</v>
      </c>
      <c r="W16" s="1">
        <f>W15*'Fringe Benefits'!$E$11</f>
        <v>0</v>
      </c>
      <c r="X16" s="1"/>
      <c r="Y16" s="1">
        <f t="shared" si="1"/>
        <v>0</v>
      </c>
      <c r="Z16" s="1">
        <f t="shared" si="2"/>
        <v>0</v>
      </c>
    </row>
    <row r="17" spans="1:26" x14ac:dyDescent="0.25">
      <c r="A17" t="s">
        <v>340</v>
      </c>
      <c r="B17" s="27" t="s">
        <v>326</v>
      </c>
      <c r="D17" s="1">
        <f>SUMIF(('Data Form'!$G$6:$G$701), "I2", 'Data Form'!I$6:I$701)-D15</f>
        <v>0</v>
      </c>
      <c r="E17" s="1"/>
      <c r="F17" s="1"/>
      <c r="G17" s="1">
        <f>SUMIF(('Data Form'!$G$6:$G$701), "I2", 'Data Form'!L$6:L$701)-G15</f>
        <v>0</v>
      </c>
      <c r="H17" s="1">
        <f>SUMIF(('Data Form'!$G$6:$G$701), "I2", 'Data Form'!M$6:M$701)-H15</f>
        <v>0</v>
      </c>
      <c r="I17" s="1">
        <f>SUMIF(('Data Form'!$G$6:$G$701), "I2", 'Data Form'!N$6:N$701)-I15</f>
        <v>0</v>
      </c>
      <c r="J17" s="1">
        <f>SUMIF(('Data Form'!$G$6:$G$701), "I2", 'Data Form'!O$6:O$701)-J15</f>
        <v>0</v>
      </c>
      <c r="K17" s="1">
        <f>SUMIF(('Data Form'!$G$6:$G$701), "I2", 'Data Form'!P$6:P$701)-K15</f>
        <v>0</v>
      </c>
      <c r="L17" s="1">
        <f>SUMIF(('Data Form'!$G$6:$G$701), "I2", 'Data Form'!Q$6:Q$701)-L15</f>
        <v>0</v>
      </c>
      <c r="M17" s="1">
        <f>SUMIF(('Data Form'!$G$6:$G$701), "I2", 'Data Form'!R$6:R$701)-M15</f>
        <v>0</v>
      </c>
      <c r="N17" s="1">
        <f>SUMIF(('Data Form'!$G$6:$G$701), "I2", 'Data Form'!S$6:S$701)-N15</f>
        <v>0</v>
      </c>
      <c r="O17" s="1">
        <f>SUMIF(('Data Form'!$G$6:$G$701), "I2", 'Data Form'!T$6:T$701)-O15</f>
        <v>0</v>
      </c>
      <c r="P17" s="1">
        <f>SUMIF(('Data Form'!$G$6:$G$701), "I2", 'Data Form'!U$6:U$701)-P15</f>
        <v>0</v>
      </c>
      <c r="Q17" s="1">
        <f>SUMIF(('Data Form'!$G$6:$G$701), "I2", 'Data Form'!V$6:V$701)-Q15</f>
        <v>0</v>
      </c>
      <c r="R17" s="1">
        <f>SUMIF(('Data Form'!$G$6:$G$701), "I2", 'Data Form'!W$6:W$701)-R15</f>
        <v>0</v>
      </c>
      <c r="S17" s="1">
        <f>SUMIF(('Data Form'!$G$6:$G$701), "I2", 'Data Form'!X$6:X$701)-S15</f>
        <v>0</v>
      </c>
      <c r="T17" s="1">
        <f>SUMIF(('Data Form'!$G$6:$G$701), "I2", 'Data Form'!Y$6:Y$701)-T15</f>
        <v>0</v>
      </c>
      <c r="U17" s="1">
        <f>SUMIF(('Data Form'!$G$6:$G$701), "I2", 'Data Form'!Z$6:Z$701)-U15</f>
        <v>0</v>
      </c>
      <c r="V17" s="1">
        <f>SUMIF(('Data Form'!$G$6:$G$701), "I2", 'Data Form'!AA$6:AA$701)-V15</f>
        <v>0</v>
      </c>
      <c r="W17" s="1">
        <f>SUMIF(('Data Form'!$G$6:$G$701), "I2", 'Data Form'!AB$6:AB$701)-W15</f>
        <v>0</v>
      </c>
      <c r="X17" s="1"/>
      <c r="Y17" s="1">
        <f t="shared" si="1"/>
        <v>0</v>
      </c>
      <c r="Z17" s="1">
        <f t="shared" si="2"/>
        <v>0</v>
      </c>
    </row>
    <row r="18" spans="1:26" x14ac:dyDescent="0.25">
      <c r="A18" t="s">
        <v>341</v>
      </c>
      <c r="B18" s="27" t="s">
        <v>327</v>
      </c>
      <c r="D18" s="1">
        <f>SUMIFS(('Data Form'!$I$6:$I$701),('Data Form'!$G$6:$G$701),"J1",('Data Form'!$D$6:$D$701),"1")</f>
        <v>6838543</v>
      </c>
      <c r="E18" s="1"/>
      <c r="F18" s="1"/>
      <c r="G18" s="1">
        <f>SUMIFS(('Data Form'!L$6:L$701),('Data Form'!$G$6:$G$701),"J1",('Data Form'!$D$6:$D$701),"1")</f>
        <v>1616722.9905113599</v>
      </c>
      <c r="H18" s="1">
        <f>SUMIFS(('Data Form'!M$6:M$701),('Data Form'!$G$6:$G$701),"J1",('Data Form'!$D$6:$D$701),"1")</f>
        <v>1688673.2292829698</v>
      </c>
      <c r="I18" s="1">
        <f>SUMIFS(('Data Form'!N$6:N$701),('Data Form'!$G$6:$G$701),"J1",('Data Form'!$D$6:$D$701),"1")</f>
        <v>1036146.548983167</v>
      </c>
      <c r="J18" s="1">
        <f>SUMIFS(('Data Form'!O$6:O$701),('Data Form'!$G$6:$G$701),"J1",('Data Form'!$D$6:$D$701),"1")</f>
        <v>1234585.1383149759</v>
      </c>
      <c r="K18" s="1">
        <f>SUMIFS(('Data Form'!P$6:P$701),('Data Form'!$G$6:$G$701),"J1",('Data Form'!$D$6:$D$701),"1")</f>
        <v>1262415.0929075272</v>
      </c>
      <c r="L18" s="1">
        <f>SUMIFS(('Data Form'!Q$6:Q$701),('Data Form'!$G$6:$G$701),"J1",('Data Form'!$D$6:$D$701),"1")</f>
        <v>0</v>
      </c>
      <c r="M18" s="1">
        <f>SUMIFS(('Data Form'!R$6:R$701),('Data Form'!$G$6:$G$701),"J1",('Data Form'!$D$6:$D$701),"1")</f>
        <v>0</v>
      </c>
      <c r="N18" s="1">
        <f>SUMIFS(('Data Form'!S$6:S$701),('Data Form'!$G$6:$G$701),"J1",('Data Form'!$D$6:$D$701),"1")</f>
        <v>0</v>
      </c>
      <c r="O18" s="1">
        <f>SUMIFS(('Data Form'!T$6:T$701),('Data Form'!$G$6:$G$701),"J1",('Data Form'!$D$6:$D$701),"1")</f>
        <v>0</v>
      </c>
      <c r="P18" s="1">
        <f>SUMIFS(('Data Form'!U$6:U$701),('Data Form'!$G$6:$G$701),"J1",('Data Form'!$D$6:$D$701),"1")</f>
        <v>0</v>
      </c>
      <c r="Q18" s="1">
        <f>SUMIFS(('Data Form'!V$6:V$701),('Data Form'!$G$6:$G$701),"J1",('Data Form'!$D$6:$D$701),"1")</f>
        <v>0</v>
      </c>
      <c r="R18" s="1">
        <f>SUMIFS(('Data Form'!W$6:W$701),('Data Form'!$G$6:$G$701),"J1",('Data Form'!$D$6:$D$701),"1")</f>
        <v>0</v>
      </c>
      <c r="S18" s="1">
        <f>SUMIFS(('Data Form'!X$6:X$701),('Data Form'!$G$6:$G$701),"J1",('Data Form'!$D$6:$D$701),"1")</f>
        <v>0</v>
      </c>
      <c r="T18" s="1">
        <f>SUMIFS(('Data Form'!Y$6:Y$701),('Data Form'!$G$6:$G$701),"J1",('Data Form'!$D$6:$D$701),"1")</f>
        <v>0</v>
      </c>
      <c r="U18" s="1">
        <f>SUMIFS(('Data Form'!Z$6:Z$701),('Data Form'!$G$6:$G$701),"J1",('Data Form'!$D$6:$D$701),"1")</f>
        <v>0</v>
      </c>
      <c r="V18" s="1">
        <f>SUMIFS(('Data Form'!AA$6:AA$701),('Data Form'!$G$6:$G$701),"J1",('Data Form'!$D$6:$D$701),"1")</f>
        <v>0</v>
      </c>
      <c r="W18" s="1">
        <f>SUMIFS(('Data Form'!AB$6:AB$701),('Data Form'!$G$6:$G$701),"J1",('Data Form'!$D$6:$D$701),"1")</f>
        <v>0</v>
      </c>
      <c r="X18" s="1"/>
      <c r="Y18" s="1">
        <f t="shared" si="1"/>
        <v>6838543</v>
      </c>
      <c r="Z18" s="1">
        <f t="shared" si="2"/>
        <v>0</v>
      </c>
    </row>
    <row r="19" spans="1:26" x14ac:dyDescent="0.25">
      <c r="A19" t="s">
        <v>354</v>
      </c>
      <c r="B19" s="27" t="s">
        <v>327</v>
      </c>
      <c r="D19" s="1">
        <f>D18*'Fringe Benefits'!$E$11</f>
        <v>2757532.1081492724</v>
      </c>
      <c r="E19" s="1"/>
      <c r="F19" s="1"/>
      <c r="G19" s="1">
        <f>G18*'Fringe Benefits'!$E$11</f>
        <v>651917.45614792313</v>
      </c>
      <c r="H19" s="1">
        <f>H18*'Fringe Benefits'!$E$11</f>
        <v>680930.22883966775</v>
      </c>
      <c r="I19" s="1">
        <f>I18*'Fringe Benefits'!$E$11</f>
        <v>417809.37512115465</v>
      </c>
      <c r="J19" s="1">
        <f>J18*'Fringe Benefits'!$E$11</f>
        <v>497826.53397769918</v>
      </c>
      <c r="K19" s="1">
        <f>K18*'Fringe Benefits'!$E$11</f>
        <v>509048.51406282792</v>
      </c>
      <c r="L19" s="1">
        <f>L18*'Fringe Benefits'!$E$11</f>
        <v>0</v>
      </c>
      <c r="M19" s="1">
        <f>M18*'Fringe Benefits'!$E$11</f>
        <v>0</v>
      </c>
      <c r="N19" s="1">
        <f>N18*'Fringe Benefits'!$E$11</f>
        <v>0</v>
      </c>
      <c r="O19" s="1">
        <f>O18*'Fringe Benefits'!$E$11</f>
        <v>0</v>
      </c>
      <c r="P19" s="1">
        <f>P18*'Fringe Benefits'!$E$11</f>
        <v>0</v>
      </c>
      <c r="Q19" s="1">
        <f>Q18*'Fringe Benefits'!$E$11</f>
        <v>0</v>
      </c>
      <c r="R19" s="1">
        <f>R18*'Fringe Benefits'!$E$11</f>
        <v>0</v>
      </c>
      <c r="S19" s="1">
        <f>S18*'Fringe Benefits'!$E$11</f>
        <v>0</v>
      </c>
      <c r="T19" s="1">
        <f>T18*'Fringe Benefits'!$E$11</f>
        <v>0</v>
      </c>
      <c r="U19" s="1">
        <f>U18*'Fringe Benefits'!$E$11</f>
        <v>0</v>
      </c>
      <c r="V19" s="1">
        <f>V18*'Fringe Benefits'!$E$11</f>
        <v>0</v>
      </c>
      <c r="W19" s="1">
        <f>W18*'Fringe Benefits'!$E$11</f>
        <v>0</v>
      </c>
      <c r="X19" s="1"/>
      <c r="Y19" s="1">
        <f t="shared" si="1"/>
        <v>2757532.1081492724</v>
      </c>
      <c r="Z19" s="1">
        <f t="shared" si="2"/>
        <v>0</v>
      </c>
    </row>
    <row r="20" spans="1:26" x14ac:dyDescent="0.25">
      <c r="A20" t="s">
        <v>342</v>
      </c>
      <c r="B20" s="27" t="s">
        <v>327</v>
      </c>
      <c r="D20" s="1">
        <f>SUMIF(('Data Form'!$G$6:$G$701), "J1", 'Data Form'!I$6:I$701)-D18</f>
        <v>201986</v>
      </c>
      <c r="E20" s="1"/>
      <c r="F20" s="1"/>
      <c r="G20" s="1">
        <f>SUMIF(('Data Form'!$G$6:$G$701), "J1", 'Data Form'!L$6:L$701)-G18</f>
        <v>66844.123691099696</v>
      </c>
      <c r="H20" s="1">
        <f>SUMIF(('Data Form'!$G$6:$G$701), "J1", 'Data Form'!M$6:M$701)-H18</f>
        <v>47517.120418848004</v>
      </c>
      <c r="I20" s="1">
        <f>SUMIF(('Data Form'!$G$6:$G$701), "J1", 'Data Form'!N$6:N$701)-I18</f>
        <v>28073.950916230329</v>
      </c>
      <c r="J20" s="1">
        <f>SUMIF(('Data Form'!$G$6:$G$701), "J1", 'Data Form'!O$6:O$701)-J18</f>
        <v>28728.355366492411</v>
      </c>
      <c r="K20" s="1">
        <f>SUMIF(('Data Form'!$G$6:$G$701), "J1", 'Data Form'!P$6:P$701)-K18</f>
        <v>30822.449607329909</v>
      </c>
      <c r="L20" s="1">
        <f>SUMIF(('Data Form'!$G$6:$G$701), "J1", 'Data Form'!Q$6:Q$701)-L18</f>
        <v>0</v>
      </c>
      <c r="M20" s="1">
        <f>SUMIF(('Data Form'!$G$6:$G$701), "J1", 'Data Form'!R$6:R$701)-M18</f>
        <v>0</v>
      </c>
      <c r="N20" s="1">
        <f>SUMIF(('Data Form'!$G$6:$G$701), "J1", 'Data Form'!S$6:S$701)-N18</f>
        <v>0</v>
      </c>
      <c r="O20" s="1">
        <f>SUMIF(('Data Form'!$G$6:$G$701), "J1", 'Data Form'!T$6:T$701)-O18</f>
        <v>0</v>
      </c>
      <c r="P20" s="1">
        <f>SUMIF(('Data Form'!$G$6:$G$701), "J1", 'Data Form'!U$6:U$701)-P18</f>
        <v>0</v>
      </c>
      <c r="Q20" s="1">
        <f>SUMIF(('Data Form'!$G$6:$G$701), "J1", 'Data Form'!V$6:V$701)-Q18</f>
        <v>0</v>
      </c>
      <c r="R20" s="1">
        <f>SUMIF(('Data Form'!$G$6:$G$701), "J1", 'Data Form'!W$6:W$701)-R18</f>
        <v>0</v>
      </c>
      <c r="S20" s="1">
        <f>SUMIF(('Data Form'!$G$6:$G$701), "J1", 'Data Form'!X$6:X$701)-S18</f>
        <v>0</v>
      </c>
      <c r="T20" s="1">
        <f>SUMIF(('Data Form'!$G$6:$G$701), "J1", 'Data Form'!Y$6:Y$701)-T18</f>
        <v>0</v>
      </c>
      <c r="U20" s="1">
        <f>SUMIF(('Data Form'!$G$6:$G$701), "J1", 'Data Form'!Z$6:Z$701)-U18</f>
        <v>0</v>
      </c>
      <c r="V20" s="1">
        <f>SUMIF(('Data Form'!$G$6:$G$701), "J1", 'Data Form'!AA$6:AA$701)-V18</f>
        <v>0</v>
      </c>
      <c r="W20" s="1">
        <f>SUMIF(('Data Form'!$G$6:$G$701), "J1", 'Data Form'!AB$6:AB$701)-W18</f>
        <v>0</v>
      </c>
      <c r="X20" s="1"/>
      <c r="Y20" s="1">
        <f t="shared" si="1"/>
        <v>201986.00000000035</v>
      </c>
      <c r="Z20" s="1">
        <f t="shared" si="2"/>
        <v>3.4924596548080444E-10</v>
      </c>
    </row>
    <row r="21" spans="1:26" x14ac:dyDescent="0.25">
      <c r="A21" t="s">
        <v>343</v>
      </c>
      <c r="B21" s="27" t="s">
        <v>328</v>
      </c>
      <c r="D21" s="1">
        <f>SUMIFS(('Data Form'!$I$6:$I$701),('Data Form'!$G$6:$G$701),"J2",('Data Form'!$D$6:$D$701),"1")</f>
        <v>0</v>
      </c>
      <c r="E21" s="1"/>
      <c r="F21" s="1"/>
      <c r="G21" s="1">
        <f>SUMIFS(('Data Form'!L$6:L$701),('Data Form'!$G$6:$G$701),"J2",('Data Form'!$D$6:$D$701),"1")</f>
        <v>0</v>
      </c>
      <c r="H21" s="1">
        <f>SUMIFS(('Data Form'!M$6:M$701),('Data Form'!$G$6:$G$701),"J2",('Data Form'!$D$6:$D$701),"1")</f>
        <v>0</v>
      </c>
      <c r="I21" s="1">
        <f>SUMIFS(('Data Form'!N$6:N$701),('Data Form'!$G$6:$G$701),"J2",('Data Form'!$D$6:$D$701),"1")</f>
        <v>0</v>
      </c>
      <c r="J21" s="1">
        <f>SUMIFS(('Data Form'!O$6:O$701),('Data Form'!$G$6:$G$701),"J2",('Data Form'!$D$6:$D$701),"1")</f>
        <v>0</v>
      </c>
      <c r="K21" s="1">
        <f>SUMIFS(('Data Form'!P$6:P$701),('Data Form'!$G$6:$G$701),"J2",('Data Form'!$D$6:$D$701),"1")</f>
        <v>0</v>
      </c>
      <c r="L21" s="1">
        <f>SUMIFS(('Data Form'!Q$6:Q$701),('Data Form'!$G$6:$G$701),"J2",('Data Form'!$D$6:$D$701),"1")</f>
        <v>0</v>
      </c>
      <c r="M21" s="1">
        <f>SUMIFS(('Data Form'!R$6:R$701),('Data Form'!$G$6:$G$701),"J2",('Data Form'!$D$6:$D$701),"1")</f>
        <v>0</v>
      </c>
      <c r="N21" s="1">
        <f>SUMIFS(('Data Form'!S$6:S$701),('Data Form'!$G$6:$G$701),"J2",('Data Form'!$D$6:$D$701),"1")</f>
        <v>0</v>
      </c>
      <c r="O21" s="1">
        <f>SUMIFS(('Data Form'!T$6:T$701),('Data Form'!$G$6:$G$701),"J2",('Data Form'!$D$6:$D$701),"1")</f>
        <v>0</v>
      </c>
      <c r="P21" s="1">
        <f>SUMIFS(('Data Form'!U$6:U$701),('Data Form'!$G$6:$G$701),"J2",('Data Form'!$D$6:$D$701),"1")</f>
        <v>0</v>
      </c>
      <c r="Q21" s="1">
        <f>SUMIFS(('Data Form'!V$6:V$701),('Data Form'!$G$6:$G$701),"J2",('Data Form'!$D$6:$D$701),"1")</f>
        <v>0</v>
      </c>
      <c r="R21" s="1">
        <f>SUMIFS(('Data Form'!W$6:W$701),('Data Form'!$G$6:$G$701),"J2",('Data Form'!$D$6:$D$701),"1")</f>
        <v>0</v>
      </c>
      <c r="S21" s="1">
        <f>SUMIFS(('Data Form'!X$6:X$701),('Data Form'!$G$6:$G$701),"J2",('Data Form'!$D$6:$D$701),"1")</f>
        <v>0</v>
      </c>
      <c r="T21" s="1">
        <f>SUMIFS(('Data Form'!Y$6:Y$701),('Data Form'!$G$6:$G$701),"J2",('Data Form'!$D$6:$D$701),"1")</f>
        <v>0</v>
      </c>
      <c r="U21" s="1">
        <f>SUMIFS(('Data Form'!Z$6:Z$701),('Data Form'!$G$6:$G$701),"J2",('Data Form'!$D$6:$D$701),"1")</f>
        <v>0</v>
      </c>
      <c r="V21" s="1">
        <f>SUMIFS(('Data Form'!AA$6:AA$701),('Data Form'!$G$6:$G$701),"J2",('Data Form'!$D$6:$D$701),"1")</f>
        <v>0</v>
      </c>
      <c r="W21" s="1">
        <f>SUMIFS(('Data Form'!AB$6:AB$701),('Data Form'!$G$6:$G$701),"J2",('Data Form'!$D$6:$D$701),"1")</f>
        <v>0</v>
      </c>
      <c r="X21" s="1"/>
      <c r="Y21" s="1">
        <f t="shared" si="1"/>
        <v>0</v>
      </c>
      <c r="Z21" s="1">
        <f t="shared" si="2"/>
        <v>0</v>
      </c>
    </row>
    <row r="22" spans="1:26" x14ac:dyDescent="0.25">
      <c r="A22" t="s">
        <v>353</v>
      </c>
      <c r="B22" s="27" t="s">
        <v>328</v>
      </c>
      <c r="D22" s="1">
        <f>D21*'Fringe Benefits'!$E$11</f>
        <v>0</v>
      </c>
      <c r="E22" s="1"/>
      <c r="F22" s="1"/>
      <c r="G22" s="1">
        <f>G21*'Fringe Benefits'!$E$11</f>
        <v>0</v>
      </c>
      <c r="H22" s="1">
        <f>H21*'Fringe Benefits'!$E$11</f>
        <v>0</v>
      </c>
      <c r="I22" s="1">
        <f>I21*'Fringe Benefits'!$E$11</f>
        <v>0</v>
      </c>
      <c r="J22" s="1">
        <f>J21*'Fringe Benefits'!$E$11</f>
        <v>0</v>
      </c>
      <c r="K22" s="1">
        <f>K21*'Fringe Benefits'!$E$11</f>
        <v>0</v>
      </c>
      <c r="L22" s="1">
        <f>L21*'Fringe Benefits'!$E$11</f>
        <v>0</v>
      </c>
      <c r="M22" s="1">
        <f>M21*'Fringe Benefits'!$E$11</f>
        <v>0</v>
      </c>
      <c r="N22" s="1">
        <f>N21*'Fringe Benefits'!$E$11</f>
        <v>0</v>
      </c>
      <c r="O22" s="1">
        <f>O21*'Fringe Benefits'!$E$11</f>
        <v>0</v>
      </c>
      <c r="P22" s="1">
        <f>P21*'Fringe Benefits'!$E$11</f>
        <v>0</v>
      </c>
      <c r="Q22" s="1">
        <f>Q21*'Fringe Benefits'!$E$11</f>
        <v>0</v>
      </c>
      <c r="R22" s="1">
        <f>R21*'Fringe Benefits'!$E$11</f>
        <v>0</v>
      </c>
      <c r="S22" s="1">
        <f>S21*'Fringe Benefits'!$E$11</f>
        <v>0</v>
      </c>
      <c r="T22" s="1">
        <f>T21*'Fringe Benefits'!$E$11</f>
        <v>0</v>
      </c>
      <c r="U22" s="1">
        <f>U21*'Fringe Benefits'!$E$11</f>
        <v>0</v>
      </c>
      <c r="V22" s="1">
        <f>V21*'Fringe Benefits'!$E$11</f>
        <v>0</v>
      </c>
      <c r="W22" s="1">
        <f>W21*'Fringe Benefits'!$E$11</f>
        <v>0</v>
      </c>
      <c r="X22" s="1"/>
      <c r="Y22" s="1">
        <f t="shared" si="1"/>
        <v>0</v>
      </c>
      <c r="Z22" s="1">
        <f t="shared" si="2"/>
        <v>0</v>
      </c>
    </row>
    <row r="23" spans="1:26" x14ac:dyDescent="0.25">
      <c r="A23" t="s">
        <v>344</v>
      </c>
      <c r="B23" s="27" t="s">
        <v>328</v>
      </c>
      <c r="D23" s="1">
        <f>SUMIF(('Data Form'!$G$6:$G$701), "J2", 'Data Form'!I$6:I$701)-D21</f>
        <v>0</v>
      </c>
      <c r="E23" s="1"/>
      <c r="F23" s="1"/>
      <c r="G23" s="1">
        <f>SUMIF(('Data Form'!$G$6:$G$701), "J2", 'Data Form'!L$6:L$701)-G21</f>
        <v>0</v>
      </c>
      <c r="H23" s="1">
        <f>SUMIF(('Data Form'!$G$6:$G$701), "J2", 'Data Form'!M$6:M$701)-H21</f>
        <v>0</v>
      </c>
      <c r="I23" s="1">
        <f>SUMIF(('Data Form'!$G$6:$G$701), "J2", 'Data Form'!N$6:N$701)-J35</f>
        <v>0</v>
      </c>
      <c r="J23" s="1">
        <f>SUMIF(('Data Form'!$G$6:$G$701), "J2", 'Data Form'!O$6:O$701)-J21</f>
        <v>0</v>
      </c>
      <c r="K23" s="1">
        <f>SUMIF(('Data Form'!$G$6:$G$701), "J2", 'Data Form'!P$6:P$701)-K21</f>
        <v>0</v>
      </c>
      <c r="L23" s="1">
        <f>SUMIF(('Data Form'!$G$6:$G$701), "J2", 'Data Form'!Q$6:Q$701)-L21</f>
        <v>0</v>
      </c>
      <c r="M23" s="1">
        <f>SUMIF(('Data Form'!$G$6:$G$701), "J2", 'Data Form'!R$6:R$701)-M21</f>
        <v>0</v>
      </c>
      <c r="N23" s="1">
        <f>SUMIF(('Data Form'!$G$6:$G$701), "J2", 'Data Form'!S$6:S$701)-N21</f>
        <v>0</v>
      </c>
      <c r="O23" s="1">
        <f>SUMIF(('Data Form'!$G$6:$G$701), "J2", 'Data Form'!T$6:T$701)-O21</f>
        <v>0</v>
      </c>
      <c r="P23" s="1">
        <f>SUMIF(('Data Form'!$G$6:$G$701), "J2", 'Data Form'!U$6:U$701)-P21</f>
        <v>0</v>
      </c>
      <c r="Q23" s="1">
        <f>SUMIF(('Data Form'!$G$6:$G$701), "J2", 'Data Form'!V$6:V$701)-Q21</f>
        <v>0</v>
      </c>
      <c r="R23" s="1">
        <f>SUMIF(('Data Form'!$G$6:$G$701), "J2", 'Data Form'!W$6:W$701)-R21</f>
        <v>0</v>
      </c>
      <c r="S23" s="1">
        <f>SUMIF(('Data Form'!$G$6:$G$701), "J2", 'Data Form'!X$6:X$701)-S21</f>
        <v>0</v>
      </c>
      <c r="T23" s="1">
        <f>SUMIF(('Data Form'!$G$6:$G$701), "J2", 'Data Form'!Y$6:Y$701)-T21</f>
        <v>0</v>
      </c>
      <c r="U23" s="1">
        <f>SUMIF(('Data Form'!$G$6:$G$701), "J2", 'Data Form'!Z$6:Z$701)-U21</f>
        <v>0</v>
      </c>
      <c r="V23" s="1">
        <f>SUMIF(('Data Form'!$G$6:$G$701), "J2", 'Data Form'!AA$6:AA$701)-V21</f>
        <v>0</v>
      </c>
      <c r="W23" s="1">
        <f>SUMIF(('Data Form'!$G$6:$G$701), "J2", 'Data Form'!AB$6:AB$701)-W21</f>
        <v>0</v>
      </c>
      <c r="X23" s="1"/>
      <c r="Y23" s="1">
        <f t="shared" si="1"/>
        <v>0</v>
      </c>
      <c r="Z23" s="1">
        <f t="shared" si="2"/>
        <v>0</v>
      </c>
    </row>
    <row r="24" spans="1:26" ht="30" x14ac:dyDescent="0.25">
      <c r="A24" s="75" t="s">
        <v>345</v>
      </c>
      <c r="B24" s="27" t="s">
        <v>36</v>
      </c>
      <c r="D24" s="1">
        <f>SUMIFS(('Data Form'!$I$6:$I$701),('Data Form'!$G$6:$G$701),"K1",('Data Form'!$D$6:$D$701),"1")</f>
        <v>2161115</v>
      </c>
      <c r="E24" s="1"/>
      <c r="F24" s="1"/>
      <c r="G24" s="1">
        <f>SUMIFS(('Data Form'!L$6:L$701),('Data Form'!$G$6:$G$701),"K1",('Data Form'!$D$6:$D$701),"1")</f>
        <v>845300.73036649218</v>
      </c>
      <c r="H24" s="1">
        <f>SUMIFS(('Data Form'!M$6:M$701),('Data Form'!$G$6:$G$701),"K1",('Data Form'!$D$6:$D$701),"1")</f>
        <v>400186.80628272251</v>
      </c>
      <c r="I24" s="1">
        <f>SUMIFS(('Data Form'!N$6:N$701),('Data Form'!$G$6:$G$701),"K1",('Data Form'!$D$6:$D$701),"1")</f>
        <v>308828.13874345552</v>
      </c>
      <c r="J24" s="1">
        <f>SUMIFS(('Data Form'!O$6:O$701),('Data Form'!$G$6:$G$701),"K1",('Data Form'!$D$6:$D$701),"1")</f>
        <v>303359.95549738221</v>
      </c>
      <c r="K24" s="1">
        <f>SUMIFS(('Data Form'!P$6:P$701),('Data Form'!$G$6:$G$701),"K1",('Data Form'!$D$6:$D$701),"1")</f>
        <v>303439.36910994764</v>
      </c>
      <c r="L24" s="1">
        <f>SUMIFS(('Data Form'!Q$6:Q$701),('Data Form'!$G$6:$G$701),"K1",('Data Form'!$D$6:$D$701),"1")</f>
        <v>0</v>
      </c>
      <c r="M24" s="1">
        <f>SUMIFS(('Data Form'!R$6:R$701),('Data Form'!$G$6:$G$701),"K1",('Data Form'!$D$6:$D$701),"1")</f>
        <v>0</v>
      </c>
      <c r="N24" s="1">
        <f>SUMIFS(('Data Form'!S$6:S$701),('Data Form'!$G$6:$G$701),"K1",('Data Form'!$D$6:$D$701),"1")</f>
        <v>0</v>
      </c>
      <c r="O24" s="1">
        <f>SUMIFS(('Data Form'!T$6:T$701),('Data Form'!$G$6:$G$701),"K1",('Data Form'!$D$6:$D$701),"1")</f>
        <v>0</v>
      </c>
      <c r="P24" s="1">
        <f>SUMIFS(('Data Form'!U$6:U$701),('Data Form'!$G$6:$G$701),"K1",('Data Form'!$D$6:$D$701),"1")</f>
        <v>0</v>
      </c>
      <c r="Q24" s="1">
        <f>SUMIFS(('Data Form'!V$6:V$701),('Data Form'!$G$6:$G$701),"K1",('Data Form'!$D$6:$D$701),"1")</f>
        <v>0</v>
      </c>
      <c r="R24" s="1">
        <f>SUMIFS(('Data Form'!W$6:W$701),('Data Form'!$G$6:$G$701),"K1",('Data Form'!$D$6:$D$701),"1")</f>
        <v>0</v>
      </c>
      <c r="S24" s="1">
        <f>SUMIFS(('Data Form'!X$6:X$701),('Data Form'!$G$6:$G$701),"K1",('Data Form'!$D$6:$D$701),"1")</f>
        <v>0</v>
      </c>
      <c r="T24" s="1">
        <f>SUMIFS(('Data Form'!Y$6:Y$701),('Data Form'!$G$6:$G$701),"K1",('Data Form'!$D$6:$D$701),"1")</f>
        <v>0</v>
      </c>
      <c r="U24" s="1">
        <f>SUMIFS(('Data Form'!Z$6:Z$701),('Data Form'!$G$6:$G$701),"K1",('Data Form'!$D$6:$D$701),"1")</f>
        <v>0</v>
      </c>
      <c r="V24" s="1">
        <f>SUMIFS(('Data Form'!AA$6:AA$701),('Data Form'!$G$6:$G$701),"K1",('Data Form'!$D$6:$D$701),"1")</f>
        <v>0</v>
      </c>
      <c r="W24" s="1">
        <f>SUMIFS(('Data Form'!AB$6:AB$701),('Data Form'!$G$6:$G$701),"K1",('Data Form'!$D$6:$D$701),"1")</f>
        <v>0</v>
      </c>
      <c r="X24" s="1"/>
      <c r="Y24" s="1">
        <f t="shared" si="1"/>
        <v>2161115</v>
      </c>
      <c r="Z24" s="1">
        <f t="shared" si="2"/>
        <v>0</v>
      </c>
    </row>
    <row r="25" spans="1:26" ht="30" x14ac:dyDescent="0.25">
      <c r="A25" s="75" t="s">
        <v>355</v>
      </c>
      <c r="B25" s="27" t="s">
        <v>36</v>
      </c>
      <c r="D25" s="1">
        <f>D24*'Fringe Benefits'!$E$11</f>
        <v>871434.74887896667</v>
      </c>
      <c r="E25" s="1"/>
      <c r="F25" s="1"/>
      <c r="G25" s="1">
        <f>G24*'Fringe Benefits'!$E$11</f>
        <v>340853.87852758006</v>
      </c>
      <c r="H25" s="1">
        <f>H24*'Fringe Benefits'!$E$11</f>
        <v>161368.87164156465</v>
      </c>
      <c r="I25" s="1">
        <f>I24*'Fringe Benefits'!$E$11</f>
        <v>124529.96325168342</v>
      </c>
      <c r="J25" s="1">
        <f>J24*'Fringe Benefits'!$E$11</f>
        <v>122325.0066002021</v>
      </c>
      <c r="K25" s="1">
        <f>K24*'Fringe Benefits'!$E$11</f>
        <v>122357.02885793643</v>
      </c>
      <c r="L25" s="1">
        <f>L24*'Fringe Benefits'!$E$11</f>
        <v>0</v>
      </c>
      <c r="M25" s="1">
        <f>M24*'Fringe Benefits'!$E$11</f>
        <v>0</v>
      </c>
      <c r="N25" s="1">
        <f>N24*'Fringe Benefits'!$E$11</f>
        <v>0</v>
      </c>
      <c r="O25" s="1">
        <f>O24*'Fringe Benefits'!$E$11</f>
        <v>0</v>
      </c>
      <c r="P25" s="1">
        <f>P24*'Fringe Benefits'!$E$11</f>
        <v>0</v>
      </c>
      <c r="Q25" s="1">
        <f>Q24*'Fringe Benefits'!$E$11</f>
        <v>0</v>
      </c>
      <c r="R25" s="1">
        <f>R24*'Fringe Benefits'!$E$11</f>
        <v>0</v>
      </c>
      <c r="S25" s="1">
        <f>S24*'Fringe Benefits'!$E$11</f>
        <v>0</v>
      </c>
      <c r="T25" s="1">
        <f>T24*'Fringe Benefits'!$E$11</f>
        <v>0</v>
      </c>
      <c r="U25" s="1">
        <f>U24*'Fringe Benefits'!$E$11</f>
        <v>0</v>
      </c>
      <c r="V25" s="1">
        <f>V24*'Fringe Benefits'!$E$11</f>
        <v>0</v>
      </c>
      <c r="W25" s="1">
        <f>W24*'Fringe Benefits'!$E$11</f>
        <v>0</v>
      </c>
      <c r="X25" s="1"/>
      <c r="Y25" s="1">
        <f t="shared" si="1"/>
        <v>871434.74887896655</v>
      </c>
      <c r="Z25" s="1">
        <f t="shared" si="2"/>
        <v>0</v>
      </c>
    </row>
    <row r="26" spans="1:26" ht="30" x14ac:dyDescent="0.25">
      <c r="A26" s="75" t="s">
        <v>346</v>
      </c>
      <c r="B26" s="27" t="s">
        <v>36</v>
      </c>
      <c r="D26" s="1">
        <f>SUMIF(('Data Form'!$G$6:$G$701), "K1", 'Data Form'!I$6:I$701)-D24</f>
        <v>64477</v>
      </c>
      <c r="E26" s="1"/>
      <c r="F26" s="1"/>
      <c r="G26" s="1">
        <f>SUMIF(('Data Form'!$G$6:$G$701), "K1", 'Data Form'!L$6:L$701)-G24</f>
        <v>17769.447582835448</v>
      </c>
      <c r="H26" s="1">
        <f>SUMIF(('Data Form'!$G$6:$G$701), "K1", 'Data Form'!M$6:M$701)-H24</f>
        <v>14927.107007061364</v>
      </c>
      <c r="I26" s="1">
        <f>SUMIF(('Data Form'!$G$6:$G$701), "K1", 'Data Form'!N$6:N$701)-I24</f>
        <v>10510.133623030968</v>
      </c>
      <c r="J26" s="1">
        <f>SUMIF(('Data Form'!$G$6:$G$701), "K1", 'Data Form'!O$6:O$701)-J24</f>
        <v>9281.0720622850349</v>
      </c>
      <c r="K26" s="1">
        <f>SUMIF(('Data Form'!$G$6:$G$701), "K1", 'Data Form'!P$6:P$701)-K24</f>
        <v>11989.239724787243</v>
      </c>
      <c r="L26" s="1">
        <f>SUMIF(('Data Form'!$G$6:$G$701), "K1", 'Data Form'!Q$6:Q$701)-L24</f>
        <v>0</v>
      </c>
      <c r="M26" s="1">
        <f>SUMIF(('Data Form'!$G$6:$G$701), "K1", 'Data Form'!R$6:R$701)-M24</f>
        <v>0</v>
      </c>
      <c r="N26" s="1">
        <f>SUMIF(('Data Form'!$G$6:$G$701), "K1", 'Data Form'!S$6:S$701)-N24</f>
        <v>0</v>
      </c>
      <c r="O26" s="1">
        <f>SUMIF(('Data Form'!$G$6:$G$701), "K1", 'Data Form'!T$6:T$701)-O24</f>
        <v>0</v>
      </c>
      <c r="P26" s="1">
        <f>SUMIF(('Data Form'!$G$6:$G$701), "K1", 'Data Form'!U$6:U$701)-P24</f>
        <v>0</v>
      </c>
      <c r="Q26" s="1">
        <f>SUMIF(('Data Form'!$G$6:$G$701), "K1", 'Data Form'!V$6:V$701)-Q24</f>
        <v>0</v>
      </c>
      <c r="R26" s="1">
        <f>SUMIF(('Data Form'!$G$6:$G$701), "K1", 'Data Form'!W$6:W$701)-R24</f>
        <v>0</v>
      </c>
      <c r="S26" s="1">
        <f>SUMIF(('Data Form'!$G$6:$G$701), "K1", 'Data Form'!X$6:X$701)-S24</f>
        <v>0</v>
      </c>
      <c r="T26" s="1">
        <f>SUMIF(('Data Form'!$G$6:$G$701), "K1", 'Data Form'!Y$6:Y$701)-T24</f>
        <v>0</v>
      </c>
      <c r="U26" s="1">
        <f>SUMIF(('Data Form'!$G$6:$G$701), "K1", 'Data Form'!Z$6:Z$701)-U24</f>
        <v>0</v>
      </c>
      <c r="V26" s="1">
        <f>SUMIF(('Data Form'!$G$6:$G$701), "K1", 'Data Form'!AA$6:AA$701)-V24</f>
        <v>0</v>
      </c>
      <c r="W26" s="1">
        <f>SUMIF(('Data Form'!$G$6:$G$701), "K1", 'Data Form'!AB$6:AB$701)-W24</f>
        <v>0</v>
      </c>
      <c r="X26" s="1"/>
      <c r="Y26" s="1">
        <f t="shared" si="1"/>
        <v>64477.000000000058</v>
      </c>
      <c r="Z26" s="1">
        <f t="shared" si="2"/>
        <v>5.8207660913467407E-11</v>
      </c>
    </row>
    <row r="27" spans="1:26" ht="30" x14ac:dyDescent="0.25">
      <c r="A27" s="75" t="s">
        <v>347</v>
      </c>
      <c r="B27" s="27" t="s">
        <v>37</v>
      </c>
      <c r="D27" s="1">
        <f>SUMIFS(('Data Form'!$I$6:$I$701),('Data Form'!$G$6:$G$701),"K2",('Data Form'!$D$6:$D$701),"1")</f>
        <v>637629</v>
      </c>
      <c r="E27" s="1"/>
      <c r="F27" s="1"/>
      <c r="G27" s="1">
        <f>SUMIFS(('Data Form'!L$6:L$701),('Data Form'!$G$6:$G$701),"K2",('Data Form'!$D$6:$D$701),"1")</f>
        <v>148552.81675392669</v>
      </c>
      <c r="H27" s="1">
        <f>SUMIFS(('Data Form'!M$6:M$701),('Data Form'!$G$6:$G$701),"K2",('Data Form'!$D$6:$D$701),"1")</f>
        <v>141860.85863874346</v>
      </c>
      <c r="I27" s="1">
        <f>SUMIFS(('Data Form'!N$6:N$701),('Data Form'!$G$6:$G$701),"K2",('Data Form'!$D$6:$D$701),"1")</f>
        <v>115972.62827225131</v>
      </c>
      <c r="J27" s="1">
        <f>SUMIFS(('Data Form'!O$6:O$701),('Data Form'!$G$6:$G$701),"K2",('Data Form'!$D$6:$D$701),"1")</f>
        <v>137095.25130890054</v>
      </c>
      <c r="K27" s="1">
        <f>SUMIFS(('Data Form'!P$6:P$701),('Data Form'!$G$6:$G$701),"K2",('Data Form'!$D$6:$D$701),"1")</f>
        <v>94147.445026178015</v>
      </c>
      <c r="L27" s="1">
        <f>SUMIFS(('Data Form'!Q$6:Q$701),('Data Form'!$G$6:$G$701),"K2",('Data Form'!$D$6:$D$701),"1")</f>
        <v>0</v>
      </c>
      <c r="M27" s="1">
        <f>SUMIFS(('Data Form'!R$6:R$701),('Data Form'!$G$6:$G$701),"K2",('Data Form'!$D$6:$D$701),"1")</f>
        <v>0</v>
      </c>
      <c r="N27" s="1">
        <f>SUMIFS(('Data Form'!S$6:S$701),('Data Form'!$G$6:$G$701),"K2",('Data Form'!$D$6:$D$701),"1")</f>
        <v>0</v>
      </c>
      <c r="O27" s="1">
        <f>SUMIFS(('Data Form'!T$6:T$701),('Data Form'!$G$6:$G$701),"K2",('Data Form'!$D$6:$D$701),"1")</f>
        <v>0</v>
      </c>
      <c r="P27" s="1">
        <f>SUMIFS(('Data Form'!U$6:U$701),('Data Form'!$G$6:$G$701),"K2",('Data Form'!$D$6:$D$701),"1")</f>
        <v>0</v>
      </c>
      <c r="Q27" s="1">
        <f>SUMIFS(('Data Form'!V$6:V$701),('Data Form'!$G$6:$G$701),"K2",('Data Form'!$D$6:$D$701),"1")</f>
        <v>0</v>
      </c>
      <c r="R27" s="1">
        <f>SUMIFS(('Data Form'!W$6:W$701),('Data Form'!$G$6:$G$701),"K2",('Data Form'!$D$6:$D$701),"1")</f>
        <v>0</v>
      </c>
      <c r="S27" s="1">
        <f>SUMIFS(('Data Form'!X$6:X$701),('Data Form'!$G$6:$G$701),"K2",('Data Form'!$D$6:$D$701),"1")</f>
        <v>0</v>
      </c>
      <c r="T27" s="1">
        <f>SUMIFS(('Data Form'!Y$6:Y$701),('Data Form'!$G$6:$G$701),"K2",('Data Form'!$D$6:$D$701),"1")</f>
        <v>0</v>
      </c>
      <c r="U27" s="1">
        <f>SUMIFS(('Data Form'!Z$6:Z$701),('Data Form'!$G$6:$G$701),"K2",('Data Form'!$D$6:$D$701),"1")</f>
        <v>0</v>
      </c>
      <c r="V27" s="1">
        <f>SUMIFS(('Data Form'!AA$6:AA$701),('Data Form'!$G$6:$G$701),"K2",('Data Form'!$D$6:$D$701),"1")</f>
        <v>0</v>
      </c>
      <c r="W27" s="1">
        <f>SUMIFS(('Data Form'!AB$6:AB$701),('Data Form'!$G$6:$G$701),"K2",('Data Form'!$D$6:$D$701),"1")</f>
        <v>0</v>
      </c>
      <c r="X27" s="1"/>
      <c r="Y27" s="1">
        <f t="shared" si="1"/>
        <v>637629</v>
      </c>
      <c r="Z27" s="1">
        <f t="shared" si="2"/>
        <v>0</v>
      </c>
    </row>
    <row r="28" spans="1:26" ht="30" x14ac:dyDescent="0.25">
      <c r="A28" s="75" t="s">
        <v>356</v>
      </c>
      <c r="B28" s="27" t="s">
        <v>37</v>
      </c>
      <c r="D28" s="1">
        <f>D27*'Fringe Benefits'!$E$11</f>
        <v>257113.60454809052</v>
      </c>
      <c r="E28" s="1"/>
      <c r="F28" s="1"/>
      <c r="G28" s="1">
        <f>G27*'Fringe Benefits'!$E$11</f>
        <v>59901.526093345914</v>
      </c>
      <c r="H28" s="1">
        <f>H27*'Fringe Benefits'!$E$11</f>
        <v>57203.101974493722</v>
      </c>
      <c r="I28" s="1">
        <f>I27*'Fringe Benefits'!$E$11</f>
        <v>46764.090849058506</v>
      </c>
      <c r="J28" s="1">
        <f>J27*'Fringe Benefits'!$E$11</f>
        <v>55281.447723453202</v>
      </c>
      <c r="K28" s="1">
        <f>K27*'Fringe Benefits'!$E$11</f>
        <v>37963.437907739179</v>
      </c>
      <c r="L28" s="1">
        <f>L27*'Fringe Benefits'!$E$11</f>
        <v>0</v>
      </c>
      <c r="M28" s="1">
        <f>M27*'Fringe Benefits'!$E$11</f>
        <v>0</v>
      </c>
      <c r="N28" s="1">
        <f>N27*'Fringe Benefits'!$E$11</f>
        <v>0</v>
      </c>
      <c r="O28" s="1">
        <f>O27*'Fringe Benefits'!$E$11</f>
        <v>0</v>
      </c>
      <c r="P28" s="1">
        <f>P27*'Fringe Benefits'!$E$11</f>
        <v>0</v>
      </c>
      <c r="Q28" s="1">
        <f>Q27*'Fringe Benefits'!$E$11</f>
        <v>0</v>
      </c>
      <c r="R28" s="1">
        <f>R27*'Fringe Benefits'!$E$11</f>
        <v>0</v>
      </c>
      <c r="S28" s="1">
        <f>S27*'Fringe Benefits'!$E$11</f>
        <v>0</v>
      </c>
      <c r="T28" s="1">
        <f>T27*'Fringe Benefits'!$E$11</f>
        <v>0</v>
      </c>
      <c r="U28" s="1">
        <f>U27*'Fringe Benefits'!$E$11</f>
        <v>0</v>
      </c>
      <c r="V28" s="1">
        <f>V27*'Fringe Benefits'!$E$11</f>
        <v>0</v>
      </c>
      <c r="W28" s="1">
        <f>W27*'Fringe Benefits'!$E$11</f>
        <v>0</v>
      </c>
      <c r="X28" s="1"/>
      <c r="Y28" s="1">
        <f t="shared" si="1"/>
        <v>257113.60454809049</v>
      </c>
      <c r="Z28" s="1">
        <f t="shared" si="2"/>
        <v>0</v>
      </c>
    </row>
    <row r="29" spans="1:26" ht="30" x14ac:dyDescent="0.25">
      <c r="A29" s="75" t="s">
        <v>348</v>
      </c>
      <c r="B29" s="27" t="s">
        <v>37</v>
      </c>
      <c r="D29" s="1">
        <f>SUMIF(('Data Form'!$G$6:$G$701), "K2", 'Data Form'!I$6:I$701)-D27</f>
        <v>332244</v>
      </c>
      <c r="E29" s="1"/>
      <c r="F29" s="1"/>
      <c r="G29" s="1">
        <f>SUMIF(('Data Form'!$G$6:$G$701), "K2", 'Data Form'!L$6:L$701)-G27</f>
        <v>112979.72054973824</v>
      </c>
      <c r="H29" s="1">
        <f>SUMIF(('Data Form'!$G$6:$G$701), "K2", 'Data Form'!M$6:M$701)-H27</f>
        <v>74210.209424083791</v>
      </c>
      <c r="I29" s="1">
        <f>SUMIF(('Data Form'!$G$6:$G$701), "K2", 'Data Form'!N$6:N$701)-I27</f>
        <v>45055.333115183283</v>
      </c>
      <c r="J29" s="1">
        <f>SUMIF(('Data Form'!$G$6:$G$701), "K2", 'Data Form'!O$6:O$701)-J27</f>
        <v>49016.308246073313</v>
      </c>
      <c r="K29" s="1">
        <f>SUMIF(('Data Form'!$G$6:$G$701), "K2", 'Data Form'!P$6:P$701)-K27</f>
        <v>50982.428664921477</v>
      </c>
      <c r="L29" s="1">
        <f>SUMIF(('Data Form'!$G$6:$G$701), "K2", 'Data Form'!Q$6:Q$701)-L27</f>
        <v>0</v>
      </c>
      <c r="M29" s="1">
        <f>SUMIF(('Data Form'!$G$6:$G$701), "K2", 'Data Form'!R$6:R$701)-M27</f>
        <v>0</v>
      </c>
      <c r="N29" s="1">
        <f>SUMIF(('Data Form'!$G$6:$G$701), "K2", 'Data Form'!S$6:S$701)-N27</f>
        <v>0</v>
      </c>
      <c r="O29" s="1">
        <f>SUMIF(('Data Form'!$G$6:$G$701), "K2", 'Data Form'!T$6:T$701)-O27</f>
        <v>0</v>
      </c>
      <c r="P29" s="1">
        <f>SUMIF(('Data Form'!$G$6:$G$701), "K2", 'Data Form'!U$6:U$701)-P27</f>
        <v>0</v>
      </c>
      <c r="Q29" s="1">
        <f>SUMIF(('Data Form'!$G$6:$G$701), "K2", 'Data Form'!V$6:V$701)-Q27</f>
        <v>0</v>
      </c>
      <c r="R29" s="1">
        <f>SUMIF(('Data Form'!$G$6:$G$701), "K2", 'Data Form'!W$6:W$701)-R27</f>
        <v>0</v>
      </c>
      <c r="S29" s="1">
        <f>SUMIF(('Data Form'!$G$6:$G$701), "K2", 'Data Form'!X$6:X$701)-S27</f>
        <v>0</v>
      </c>
      <c r="T29" s="1">
        <f>SUMIF(('Data Form'!$G$6:$G$701), "K2", 'Data Form'!Y$6:Y$701)-T27</f>
        <v>0</v>
      </c>
      <c r="U29" s="1">
        <f>SUMIF(('Data Form'!$G$6:$G$701), "K2", 'Data Form'!Z$6:Z$701)-U27</f>
        <v>0</v>
      </c>
      <c r="V29" s="1">
        <f>SUMIF(('Data Form'!$G$6:$G$701), "K2", 'Data Form'!AA$6:AA$701)-V27</f>
        <v>0</v>
      </c>
      <c r="W29" s="1">
        <f>SUMIF(('Data Form'!$G$6:$G$701), "K2", 'Data Form'!AB$6:AB$701)-W27</f>
        <v>0</v>
      </c>
      <c r="X29" s="1"/>
      <c r="Y29" s="1">
        <f t="shared" si="1"/>
        <v>332244.00000000012</v>
      </c>
      <c r="Z29" s="1">
        <f t="shared" si="2"/>
        <v>0</v>
      </c>
    </row>
    <row r="30" spans="1:26" ht="30" x14ac:dyDescent="0.25">
      <c r="A30" s="75" t="s">
        <v>349</v>
      </c>
      <c r="B30" s="27" t="s">
        <v>38</v>
      </c>
      <c r="D30" s="1">
        <f>SUMIFS(('Data Form'!$I$6:$I$701),('Data Form'!$G$6:$G$701),"K3",('Data Form'!$D$6:$D$701),"1")</f>
        <v>1834022</v>
      </c>
      <c r="E30" s="1"/>
      <c r="F30" s="1"/>
      <c r="G30" s="1">
        <f>SUMIFS(('Data Form'!L$6:L$701),('Data Form'!$G$6:$G$701),"K3",('Data Form'!$D$6:$D$701),"1")</f>
        <v>1012760.4787303664</v>
      </c>
      <c r="H30" s="1">
        <f>SUMIFS(('Data Form'!M$6:M$701),('Data Form'!$G$6:$G$701),"K3",('Data Form'!$D$6:$D$701),"1")</f>
        <v>499738.95680628275</v>
      </c>
      <c r="I30" s="1">
        <f>SUMIFS(('Data Form'!N$6:N$701),('Data Form'!$G$6:$G$701),"K3",('Data Form'!$D$6:$D$701),"1")</f>
        <v>70462.171138743463</v>
      </c>
      <c r="J30" s="1">
        <f>SUMIFS(('Data Form'!O$6:O$701),('Data Form'!$G$6:$G$701),"K3",('Data Form'!$D$6:$D$701),"1")</f>
        <v>70879.680955497388</v>
      </c>
      <c r="K30" s="1">
        <f>SUMIFS(('Data Form'!P$6:P$701),('Data Form'!$G$6:$G$701),"K3",('Data Form'!$D$6:$D$701),"1")</f>
        <v>180180.71236910994</v>
      </c>
      <c r="L30" s="1">
        <f>SUMIFS(('Data Form'!Q$6:Q$701),('Data Form'!$G$6:$G$701),"K3",('Data Form'!$D$6:$D$701),"1")</f>
        <v>0</v>
      </c>
      <c r="M30" s="1">
        <f>SUMIFS(('Data Form'!R$6:R$701),('Data Form'!$G$6:$G$701),"K3",('Data Form'!$D$6:$D$701),"1")</f>
        <v>0</v>
      </c>
      <c r="N30" s="1">
        <f>SUMIFS(('Data Form'!S$6:S$701),('Data Form'!$G$6:$G$701),"K3",('Data Form'!$D$6:$D$701),"1")</f>
        <v>0</v>
      </c>
      <c r="O30" s="1">
        <f>SUMIFS(('Data Form'!T$6:T$701),('Data Form'!$G$6:$G$701),"K3",('Data Form'!$D$6:$D$701),"1")</f>
        <v>0</v>
      </c>
      <c r="P30" s="1">
        <f>SUMIFS(('Data Form'!U$6:U$701),('Data Form'!$G$6:$G$701),"K3",('Data Form'!$D$6:$D$701),"1")</f>
        <v>0</v>
      </c>
      <c r="Q30" s="1">
        <f>SUMIFS(('Data Form'!V$6:V$701),('Data Form'!$G$6:$G$701),"K3",('Data Form'!$D$6:$D$701),"1")</f>
        <v>0</v>
      </c>
      <c r="R30" s="1">
        <f>SUMIFS(('Data Form'!W$6:W$701),('Data Form'!$G$6:$G$701),"K3",('Data Form'!$D$6:$D$701),"1")</f>
        <v>0</v>
      </c>
      <c r="S30" s="1">
        <f>SUMIFS(('Data Form'!X$6:X$701),('Data Form'!$G$6:$G$701),"K3",('Data Form'!$D$6:$D$701),"1")</f>
        <v>0</v>
      </c>
      <c r="T30" s="1">
        <f>SUMIFS(('Data Form'!Y$6:Y$701),('Data Form'!$G$6:$G$701),"K3",('Data Form'!$D$6:$D$701),"1")</f>
        <v>0</v>
      </c>
      <c r="U30" s="1">
        <f>SUMIFS(('Data Form'!Z$6:Z$701),('Data Form'!$G$6:$G$701),"K3",('Data Form'!$D$6:$D$701),"1")</f>
        <v>0</v>
      </c>
      <c r="V30" s="1">
        <f>SUMIFS(('Data Form'!AA$6:AA$701),('Data Form'!$G$6:$G$701),"K3",('Data Form'!$D$6:$D$701),"1")</f>
        <v>0</v>
      </c>
      <c r="W30" s="1">
        <f>SUMIFS(('Data Form'!AB$6:AB$701),('Data Form'!$G$6:$G$701),"K3",('Data Form'!$D$6:$D$701),"1")</f>
        <v>0</v>
      </c>
      <c r="X30" s="1"/>
      <c r="Y30" s="1">
        <f t="shared" si="1"/>
        <v>1834021.9999999998</v>
      </c>
      <c r="Z30" s="1">
        <f t="shared" si="2"/>
        <v>0</v>
      </c>
    </row>
    <row r="31" spans="1:26" ht="30" x14ac:dyDescent="0.25">
      <c r="A31" s="75" t="s">
        <v>357</v>
      </c>
      <c r="B31" s="27" t="s">
        <v>38</v>
      </c>
      <c r="D31" s="1">
        <f>D30*'Fringe Benefits'!$E$11</f>
        <v>739539.77507374668</v>
      </c>
      <c r="E31" s="1"/>
      <c r="F31" s="1"/>
      <c r="G31" s="1">
        <f>G30*'Fringe Benefits'!$E$11</f>
        <v>408379.31968309829</v>
      </c>
      <c r="H31" s="1">
        <f>H30*'Fringe Benefits'!$E$11</f>
        <v>201511.66982299404</v>
      </c>
      <c r="I31" s="1">
        <f>I30*'Fringe Benefits'!$E$11</f>
        <v>28412.733432398407</v>
      </c>
      <c r="J31" s="1">
        <f>J30*'Fringe Benefits'!$E$11</f>
        <v>28581.08752846338</v>
      </c>
      <c r="K31" s="1">
        <f>K30*'Fringe Benefits'!$E$11</f>
        <v>72654.964606792622</v>
      </c>
      <c r="L31" s="1">
        <f>L30*'Fringe Benefits'!$E$11</f>
        <v>0</v>
      </c>
      <c r="M31" s="1">
        <f>M30*'Fringe Benefits'!$E$11</f>
        <v>0</v>
      </c>
      <c r="N31" s="1">
        <f>N30*'Fringe Benefits'!$E$11</f>
        <v>0</v>
      </c>
      <c r="O31" s="1">
        <f>O30*'Fringe Benefits'!$E$11</f>
        <v>0</v>
      </c>
      <c r="P31" s="1">
        <f>P30*'Fringe Benefits'!$E$11</f>
        <v>0</v>
      </c>
      <c r="Q31" s="1">
        <f>Q30*'Fringe Benefits'!$E$11</f>
        <v>0</v>
      </c>
      <c r="R31" s="1">
        <f>R30*'Fringe Benefits'!$E$11</f>
        <v>0</v>
      </c>
      <c r="S31" s="1">
        <f>S30*'Fringe Benefits'!$E$11</f>
        <v>0</v>
      </c>
      <c r="T31" s="1">
        <f>T30*'Fringe Benefits'!$E$11</f>
        <v>0</v>
      </c>
      <c r="U31" s="1">
        <f>U30*'Fringe Benefits'!$E$11</f>
        <v>0</v>
      </c>
      <c r="V31" s="1">
        <f>V30*'Fringe Benefits'!$E$11</f>
        <v>0</v>
      </c>
      <c r="W31" s="1">
        <f>W30*'Fringe Benefits'!$E$11</f>
        <v>0</v>
      </c>
      <c r="X31" s="1"/>
      <c r="Y31" s="1">
        <f t="shared" si="1"/>
        <v>739539.7750737468</v>
      </c>
      <c r="Z31" s="1">
        <f t="shared" si="2"/>
        <v>0</v>
      </c>
    </row>
    <row r="32" spans="1:26" ht="30" x14ac:dyDescent="0.25">
      <c r="A32" s="75" t="s">
        <v>350</v>
      </c>
      <c r="B32" s="27" t="s">
        <v>38</v>
      </c>
      <c r="D32" s="1">
        <f>SUMIF(('Data Form'!$G$6:$G$701), "K3", 'Data Form'!I$6:I$701)-D30</f>
        <v>732619</v>
      </c>
      <c r="E32" s="1"/>
      <c r="F32" s="1"/>
      <c r="G32" s="1">
        <f>SUMIF(('Data Form'!$G$6:$G$701), "K3", 'Data Form'!L$6:L$701)-G30</f>
        <v>321616.22643979068</v>
      </c>
      <c r="H32" s="1">
        <f>SUMIF(('Data Form'!$G$6:$G$701), "K3", 'Data Form'!M$6:M$701)-H30</f>
        <v>146988.41753926699</v>
      </c>
      <c r="I32" s="1">
        <f>SUMIF(('Data Form'!$G$6:$G$701), "K3", 'Data Form'!N$6:N$701)-I30</f>
        <v>118079.3664921466</v>
      </c>
      <c r="J32" s="1">
        <f>SUMIF(('Data Form'!$G$6:$G$701), "K3", 'Data Form'!O$6:O$701)-J30</f>
        <v>118341.14659685867</v>
      </c>
      <c r="K32" s="1">
        <f>SUMIF(('Data Form'!$G$6:$G$701), "K3", 'Data Form'!P$6:P$701)-K30</f>
        <v>27593.842931937164</v>
      </c>
      <c r="L32" s="1">
        <f>SUMIF(('Data Form'!$G$6:$G$701), "K3", 'Data Form'!Q$6:Q$701)-L30</f>
        <v>0</v>
      </c>
      <c r="M32" s="1">
        <f>SUMIF(('Data Form'!$G$6:$G$701), "K3", 'Data Form'!R$6:R$701)-M30</f>
        <v>0</v>
      </c>
      <c r="N32" s="1">
        <f>SUMIF(('Data Form'!$G$6:$G$701), "K3", 'Data Form'!S$6:S$701)-N30</f>
        <v>0</v>
      </c>
      <c r="O32" s="1">
        <f>SUMIF(('Data Form'!$G$6:$G$701), "K3", 'Data Form'!T$6:T$701)-O30</f>
        <v>0</v>
      </c>
      <c r="P32" s="1">
        <f>SUMIF(('Data Form'!$G$6:$G$701), "K3", 'Data Form'!U$6:U$701)-P30</f>
        <v>0</v>
      </c>
      <c r="Q32" s="1">
        <f>SUMIF(('Data Form'!$G$6:$G$701), "K3", 'Data Form'!V$6:V$701)-Q30</f>
        <v>0</v>
      </c>
      <c r="R32" s="1">
        <f>SUMIF(('Data Form'!$G$6:$G$701), "K3", 'Data Form'!W$6:W$701)-R30</f>
        <v>0</v>
      </c>
      <c r="S32" s="1">
        <f>SUMIF(('Data Form'!$G$6:$G$701), "K3", 'Data Form'!X$6:X$701)-S30</f>
        <v>0</v>
      </c>
      <c r="T32" s="1">
        <f>SUMIF(('Data Form'!$G$6:$G$701), "K3", 'Data Form'!Y$6:Y$701)-T30</f>
        <v>0</v>
      </c>
      <c r="U32" s="1">
        <f>SUMIF(('Data Form'!$G$6:$G$701), "K3", 'Data Form'!Z$6:Z$701)-U30</f>
        <v>0</v>
      </c>
      <c r="V32" s="1">
        <f>SUMIF(('Data Form'!$G$6:$G$701), "K3", 'Data Form'!AA$6:AA$701)-V30</f>
        <v>0</v>
      </c>
      <c r="W32" s="1">
        <f>SUMIF(('Data Form'!$G$6:$G$701), "K3", 'Data Form'!AB$6:AB$701)-W30</f>
        <v>0</v>
      </c>
      <c r="X32" s="1"/>
      <c r="Y32" s="1">
        <f t="shared" si="1"/>
        <v>732619.00000000012</v>
      </c>
      <c r="Z32" s="1">
        <f t="shared" si="2"/>
        <v>0</v>
      </c>
    </row>
    <row r="33" spans="1:26" s="27" customFormat="1" ht="15.75" thickBot="1" x14ac:dyDescent="0.3">
      <c r="A33" s="81" t="s">
        <v>359</v>
      </c>
      <c r="D33" s="79">
        <f>SUM(D12:E32)</f>
        <v>45078689.65975599</v>
      </c>
      <c r="E33" s="80"/>
      <c r="F33" s="80"/>
      <c r="G33" s="79">
        <f t="shared" ref="G33:W33" si="3">SUM(G12:G32)</f>
        <v>15615500.991717862</v>
      </c>
      <c r="H33" s="79">
        <f t="shared" si="3"/>
        <v>10496865.622842638</v>
      </c>
      <c r="I33" s="79">
        <f t="shared" si="3"/>
        <v>6044155.1107852273</v>
      </c>
      <c r="J33" s="79">
        <f t="shared" si="3"/>
        <v>6491369.7395286616</v>
      </c>
      <c r="K33" s="79">
        <f t="shared" si="3"/>
        <v>6430798.1948816059</v>
      </c>
      <c r="L33" s="79">
        <f t="shared" si="3"/>
        <v>0</v>
      </c>
      <c r="M33" s="79">
        <f t="shared" si="3"/>
        <v>0</v>
      </c>
      <c r="N33" s="79">
        <f t="shared" si="3"/>
        <v>0</v>
      </c>
      <c r="O33" s="79">
        <f t="shared" si="3"/>
        <v>0</v>
      </c>
      <c r="P33" s="79">
        <f t="shared" si="3"/>
        <v>0</v>
      </c>
      <c r="Q33" s="79">
        <f t="shared" si="3"/>
        <v>0</v>
      </c>
      <c r="R33" s="79">
        <f t="shared" si="3"/>
        <v>0</v>
      </c>
      <c r="S33" s="79">
        <f t="shared" si="3"/>
        <v>0</v>
      </c>
      <c r="T33" s="79">
        <f t="shared" si="3"/>
        <v>0</v>
      </c>
      <c r="U33" s="79">
        <f t="shared" si="3"/>
        <v>0</v>
      </c>
      <c r="V33" s="79">
        <f t="shared" si="3"/>
        <v>0</v>
      </c>
      <c r="W33" s="79">
        <f t="shared" si="3"/>
        <v>0</v>
      </c>
      <c r="X33" s="79"/>
      <c r="Y33" s="79">
        <f>SUM(Y12:Y32)</f>
        <v>45078689.65975599</v>
      </c>
      <c r="Z33" s="79">
        <f>SUM(Z12:Z32)</f>
        <v>4.0745362639427185E-10</v>
      </c>
    </row>
    <row r="34" spans="1:26" s="27" customFormat="1" ht="15.75" thickTop="1" x14ac:dyDescent="0.25">
      <c r="A34" s="81"/>
      <c r="D34" s="82"/>
      <c r="E34" s="80"/>
      <c r="F34" s="80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0"/>
    </row>
    <row r="35" spans="1:26" x14ac:dyDescent="0.25">
      <c r="B35" s="27" t="s">
        <v>381</v>
      </c>
      <c r="D35" s="80">
        <f>'Fringe Benefits'!$Z$20</f>
        <v>45078689.65975599</v>
      </c>
      <c r="E35" s="83" t="s">
        <v>383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D36" s="80"/>
      <c r="E36" s="8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06" t="s">
        <v>388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75" t="s">
        <v>362</v>
      </c>
      <c r="B38" s="27" t="s">
        <v>329</v>
      </c>
      <c r="C38" s="29"/>
      <c r="D38" s="84">
        <f>SUMIFS(('Data Form'!I$6:I$686),('Data Form'!$D$6:$D$686),"1", ('Data Form'!$E$6:$E$686), "S",('Data Form'!$H$6:$H$686),"SL")</f>
        <v>29243866</v>
      </c>
      <c r="E38" s="84"/>
      <c r="F38" s="1"/>
      <c r="G38" s="84">
        <f>SUMIFS(('Data Form'!L$6:L$686),('Data Form'!$D$6:$D$686),"1", ('Data Form'!$E$6:$E$686), "S",('Data Form'!$H$6:$H$686),"SL")</f>
        <v>9807592.9901841376</v>
      </c>
      <c r="H38" s="84">
        <f>SUMIFS(('Data Form'!M$6:M$686),('Data Form'!$D$6:$D$686),"1", ('Data Form'!$E$6:$E$686), "S",('Data Form'!$H$6:$H$686),"SL")</f>
        <v>6982545.2593876822</v>
      </c>
      <c r="I38" s="84">
        <f>SUMIFS(('Data Form'!N$6:N$686),('Data Form'!$D$6:$D$686),"1", ('Data Form'!$E$6:$E$686), "S",('Data Form'!$H$6:$H$686),"SL")</f>
        <v>3949777.0054622246</v>
      </c>
      <c r="J38" s="84">
        <f>SUMIFS(('Data Form'!O$6:O$686),('Data Form'!$D$6:$D$686),"1", ('Data Form'!$E$6:$E$686), "S",('Data Form'!$H$6:$H$686),"SL")</f>
        <v>4230790.6334065991</v>
      </c>
      <c r="K38" s="84">
        <f>SUMIFS(('Data Form'!P$6:P$686),('Data Form'!$D$6:$D$686),"1", ('Data Form'!$E$6:$E$686), "S",('Data Form'!$H$6:$H$686),"SL")</f>
        <v>4273160.1115593594</v>
      </c>
      <c r="L38" s="84">
        <f>SUMIFS(('Data Form'!Q$6:Q$686),('Data Form'!$D$6:$D$686),"1", ('Data Form'!$E$6:$E$686), "S",('Data Form'!$H$6:$H$686),"SL")</f>
        <v>0</v>
      </c>
      <c r="M38" s="84">
        <f>SUMIFS(('Data Form'!R$6:R$686),('Data Form'!$D$6:$D$686),"1", ('Data Form'!$E$6:$E$686), "S",('Data Form'!$H$6:$H$686),"SL")</f>
        <v>0</v>
      </c>
      <c r="N38" s="84">
        <f>SUMIFS(('Data Form'!S$6:S$686),('Data Form'!$D$6:$D$686),"1", ('Data Form'!$E$6:$E$686), "S",('Data Form'!$H$6:$H$686),"SL")</f>
        <v>0</v>
      </c>
      <c r="O38" s="84">
        <f>SUMIFS(('Data Form'!T$6:T$686),('Data Form'!$D$6:$D$686),"1", ('Data Form'!$E$6:$E$686), "S",('Data Form'!$H$6:$H$686),"SL")</f>
        <v>0</v>
      </c>
      <c r="P38" s="84">
        <f>SUMIFS(('Data Form'!U$6:U$686),('Data Form'!$D$6:$D$686),"1", ('Data Form'!$E$6:$E$686), "S",('Data Form'!$H$6:$H$686),"SL")</f>
        <v>0</v>
      </c>
      <c r="Q38" s="84">
        <f>SUMIFS(('Data Form'!V$6:V$686),('Data Form'!$D$6:$D$686),"1", ('Data Form'!$E$6:$E$686), "S",('Data Form'!$H$6:$H$686),"SL")</f>
        <v>0</v>
      </c>
      <c r="R38" s="84">
        <f>SUMIFS(('Data Form'!W$6:W$686),('Data Form'!$D$6:$D$686),"1", ('Data Form'!$E$6:$E$686), "S",('Data Form'!$H$6:$H$686),"SL")</f>
        <v>0</v>
      </c>
      <c r="S38" s="84">
        <f>SUMIFS(('Data Form'!X$6:X$686),('Data Form'!$D$6:$D$686),"1", ('Data Form'!$E$6:$E$686), "S",('Data Form'!$H$6:$H$686),"SL")</f>
        <v>0</v>
      </c>
      <c r="T38" s="84">
        <f>SUMIFS(('Data Form'!Y$6:Y$686),('Data Form'!$D$6:$D$686),"1", ('Data Form'!$E$6:$E$686), "S",('Data Form'!$H$6:$H$686),"SL")</f>
        <v>0</v>
      </c>
      <c r="U38" s="84">
        <f>SUMIFS(('Data Form'!Z$6:Z$686),('Data Form'!$D$6:$D$686),"1", ('Data Form'!$E$6:$E$686), "S",('Data Form'!$H$6:$H$686),"SL")</f>
        <v>0</v>
      </c>
      <c r="V38" s="84">
        <f>SUMIFS(('Data Form'!AA$6:AA$686),('Data Form'!$D$6:$D$686),"1", ('Data Form'!$E$6:$E$686), "S",('Data Form'!$H$6:$H$686),"SL")</f>
        <v>0</v>
      </c>
      <c r="W38" s="84">
        <f>SUMIFS(('Data Form'!AB$6:AB$686),('Data Form'!$D$6:$D$686),"1", ('Data Form'!$E$6:$E$686), "S",('Data Form'!$H$6:$H$686),"SL")</f>
        <v>0</v>
      </c>
      <c r="X38" s="84"/>
      <c r="Y38" s="1">
        <f t="shared" ref="Y38:Y43" si="4">SUM(G38:X38)</f>
        <v>29243866</v>
      </c>
      <c r="Z38" s="1">
        <f t="shared" ref="Z38:Z43" si="5">Y38-D38</f>
        <v>0</v>
      </c>
    </row>
    <row r="39" spans="1:26" x14ac:dyDescent="0.25">
      <c r="A39" s="75" t="s">
        <v>360</v>
      </c>
      <c r="B39" s="27" t="s">
        <v>329</v>
      </c>
      <c r="C39" s="29"/>
      <c r="D39" s="311">
        <f>(D38*'Fringe Benefits'!$E$11)+(D41*'Fringe Benefits'!E11)-'Summary Data Part A'!J93</f>
        <v>12107548.229755992</v>
      </c>
      <c r="E39" s="311"/>
      <c r="F39" s="311"/>
      <c r="G39" s="311">
        <f>(G38*'Fringe Benefits'!$E$11)+(G41*'Fringe Benefits'!$E$11)-'Summary Data Part C'!G42</f>
        <v>4069501.8484125156</v>
      </c>
      <c r="H39" s="311">
        <f>(H38*'Fringe Benefits'!$E$11)+(H41*'Fringe Benefits'!$E$11)-'Summary Data Part C'!H42</f>
        <v>2879123.0358504523</v>
      </c>
      <c r="I39" s="311">
        <f>(I38*'Fringe Benefits'!$E$11)+(I41*'Fringe Benefits'!$E$11)-'Summary Data Part C'!I42</f>
        <v>1633979.2788594831</v>
      </c>
      <c r="J39" s="311">
        <f>(J38*'Fringe Benefits'!$E$11)+(J41*'Fringe Benefits'!$E$11)-'Summary Data Part C'!J42</f>
        <v>1757882.0900012099</v>
      </c>
      <c r="K39" s="311">
        <f>(K38*'Fringe Benefits'!$E$11)+(K41*'Fringe Benefits'!$E$11)-'Summary Data Part C'!K42</f>
        <v>1767061.9766323336</v>
      </c>
      <c r="L39" s="311">
        <f>(L38*'Fringe Benefits'!$E$11)+(L41*'Fringe Benefits'!$E$11)-'Summary Data Part C'!L42</f>
        <v>0</v>
      </c>
      <c r="M39" s="311">
        <f>(M38*'Fringe Benefits'!$E$11)+(M41*'Fringe Benefits'!$E$11)-'Summary Data Part C'!M42</f>
        <v>0</v>
      </c>
      <c r="N39" s="311">
        <f>(N38*'Fringe Benefits'!$E$11)+(N41*'Fringe Benefits'!$E$11)-'Summary Data Part C'!N42</f>
        <v>0</v>
      </c>
      <c r="O39" s="311">
        <f>(O38*'Fringe Benefits'!$E$11)+(O41*'Fringe Benefits'!$E$11)-'Summary Data Part C'!O42</f>
        <v>0</v>
      </c>
      <c r="P39" s="311">
        <f>(P38*'Fringe Benefits'!$E$11)+(P41*'Fringe Benefits'!$E$11)-'Summary Data Part C'!P42</f>
        <v>0</v>
      </c>
      <c r="Q39" s="311">
        <f>(Q38*'Fringe Benefits'!$E$11)+(Q41*'Fringe Benefits'!$E$11)-'Summary Data Part C'!Q42</f>
        <v>0</v>
      </c>
      <c r="R39" s="311">
        <f>(R38*'Fringe Benefits'!$E$11)+(R41*'Fringe Benefits'!$E$11)-'Summary Data Part C'!R42</f>
        <v>0</v>
      </c>
      <c r="S39" s="311">
        <f>(S38*'Fringe Benefits'!$E$11)+(S41*'Fringe Benefits'!$E$11)-'Summary Data Part C'!S42</f>
        <v>0</v>
      </c>
      <c r="T39" s="311">
        <f>(T38*'Fringe Benefits'!$E$11)+(T41*'Fringe Benefits'!$E$11)-'Summary Data Part C'!T42</f>
        <v>0</v>
      </c>
      <c r="U39" s="311">
        <f>(U38*'Fringe Benefits'!$E$11)+(U41*'Fringe Benefits'!$E$11)-'Summary Data Part C'!U42</f>
        <v>0</v>
      </c>
      <c r="V39" s="311">
        <f>(V38*'Fringe Benefits'!$E$11)+(V41*'Fringe Benefits'!$E$11)-'Summary Data Part C'!V42</f>
        <v>0</v>
      </c>
      <c r="W39" s="311">
        <f>(W38*'Fringe Benefits'!$E$11)+(W41*'Fringe Benefits'!$E$11)-'Summary Data Part C'!W42</f>
        <v>0</v>
      </c>
      <c r="X39" s="311"/>
      <c r="Y39" s="311">
        <f>SUM(G39:X39)</f>
        <v>12107548.229755996</v>
      </c>
      <c r="Z39" s="311">
        <f>Y39-D39</f>
        <v>0</v>
      </c>
    </row>
    <row r="40" spans="1:26" x14ac:dyDescent="0.25">
      <c r="A40" s="75" t="s">
        <v>361</v>
      </c>
      <c r="B40" s="27" t="s">
        <v>329</v>
      </c>
      <c r="C40" s="29"/>
      <c r="D40" s="84">
        <f>SUMIFS(('Data Form'!I$6:I$686), ('Data Form'!$E$6:$E$686), "S",('Data Form'!$H$6:$H$686),"SL")-D38</f>
        <v>2769920</v>
      </c>
      <c r="E40" s="84"/>
      <c r="F40" s="1"/>
      <c r="G40" s="84">
        <f>SUMIFS(('Data Form'!L$6:L$686), ('Data Form'!$E$6:$E$686), "S",('Data Form'!$H$6:$H$686),"SL")-G38</f>
        <v>1394789.0811946727</v>
      </c>
      <c r="H40" s="84">
        <f>SUMIFS(('Data Form'!M$6:M$686), ('Data Form'!$E$6:$E$686), "S",('Data Form'!$H$6:$H$686),"SL")-H38</f>
        <v>439045.00510407519</v>
      </c>
      <c r="I40" s="84">
        <f>SUMIFS(('Data Form'!N$6:N$686), ('Data Form'!$E$6:$E$686), "S",('Data Form'!$H$6:$H$686),"SL")-I38</f>
        <v>334818.28775566351</v>
      </c>
      <c r="J40" s="84">
        <f>SUMIFS(('Data Form'!O$6:O$686), ('Data Form'!$E$6:$E$686), "S",('Data Form'!$H$6:$H$686),"SL")-J38</f>
        <v>345769.41165531799</v>
      </c>
      <c r="K40" s="84">
        <f>SUMIFS(('Data Form'!P$6:P$686), ('Data Form'!$E$6:$E$686), "S",('Data Form'!$H$6:$H$686),"SL")-K38</f>
        <v>255498.21429027431</v>
      </c>
      <c r="L40" s="84">
        <f>SUMIFS(('Data Form'!Q$6:Q$686), ('Data Form'!$E$6:$E$686), "S",('Data Form'!$H$6:$H$686),"SL")-L38</f>
        <v>0</v>
      </c>
      <c r="M40" s="84">
        <f>SUMIFS(('Data Form'!R$6:R$686), ('Data Form'!$E$6:$E$686), "S",('Data Form'!$H$6:$H$686),"SL")-M38</f>
        <v>0</v>
      </c>
      <c r="N40" s="84">
        <f>SUMIFS(('Data Form'!S$6:S$686), ('Data Form'!$E$6:$E$686), "S",('Data Form'!$H$6:$H$686),"SL")-N38</f>
        <v>0</v>
      </c>
      <c r="O40" s="84">
        <f>SUMIFS(('Data Form'!T$6:T$686), ('Data Form'!$E$6:$E$686), "S",('Data Form'!$H$6:$H$686),"SL")-O38</f>
        <v>0</v>
      </c>
      <c r="P40" s="84">
        <f>SUMIFS(('Data Form'!U$6:U$686), ('Data Form'!$E$6:$E$686), "S",('Data Form'!$H$6:$H$686),"SL")-P38</f>
        <v>0</v>
      </c>
      <c r="Q40" s="84">
        <f>SUMIFS(('Data Form'!V$6:V$686), ('Data Form'!$E$6:$E$686), "S",('Data Form'!$H$6:$H$686),"SL")-Q38</f>
        <v>0</v>
      </c>
      <c r="R40" s="84">
        <f>SUMIFS(('Data Form'!W$6:W$686), ('Data Form'!$E$6:$E$686), "S",('Data Form'!$H$6:$H$686),"SL")-R38</f>
        <v>0</v>
      </c>
      <c r="S40" s="84">
        <f>SUMIFS(('Data Form'!X$6:X$686), ('Data Form'!$E$6:$E$686), "S",('Data Form'!$H$6:$H$686),"SL")-S38</f>
        <v>0</v>
      </c>
      <c r="T40" s="84">
        <f>SUMIFS(('Data Form'!Y$6:Y$686), ('Data Form'!$E$6:$E$686), "S",('Data Form'!$H$6:$H$686),"SL")-T38</f>
        <v>0</v>
      </c>
      <c r="U40" s="84">
        <f>SUMIFS(('Data Form'!Z$6:Z$686), ('Data Form'!$E$6:$E$686), "S",('Data Form'!$H$6:$H$686),"SL")-U38</f>
        <v>0</v>
      </c>
      <c r="V40" s="84">
        <f>SUMIFS(('Data Form'!AA$6:AA$686), ('Data Form'!$E$6:$E$686), "S",('Data Form'!$H$6:$H$686),"SL")-V38</f>
        <v>0</v>
      </c>
      <c r="W40" s="84">
        <f>SUMIFS(('Data Form'!AB$6:AB$686), ('Data Form'!$E$6:$E$686), "S",('Data Form'!$H$6:$H$686),"SL")-W38</f>
        <v>0</v>
      </c>
      <c r="X40" s="84"/>
      <c r="Y40" s="1">
        <f t="shared" si="4"/>
        <v>2769920.0000000037</v>
      </c>
      <c r="Z40" s="1">
        <f t="shared" si="5"/>
        <v>3.7252902984619141E-9</v>
      </c>
    </row>
    <row r="41" spans="1:26" x14ac:dyDescent="0.25">
      <c r="A41" s="75" t="s">
        <v>365</v>
      </c>
      <c r="B41" s="27" t="s">
        <v>330</v>
      </c>
      <c r="C41" s="29"/>
      <c r="D41" s="84">
        <f>SUMIFS(('Data Form'!I$6:I$686),('Data Form'!$D$6:$D$686),"1", ('Data Form'!$E$6:$E$686), "S",('Data Form'!$H$6:$H$686),"F")</f>
        <v>844505.42999999993</v>
      </c>
      <c r="E41" s="84"/>
      <c r="F41" s="1"/>
      <c r="G41" s="84">
        <f>SUMIFS(('Data Form'!L$6:L$686),('Data Form'!$D$6:$D$686),"1", ('Data Form'!$E$6:$E$686), "S",('Data Form'!$H$6:$H$686),"F")</f>
        <v>307216.02617801045</v>
      </c>
      <c r="H41" s="84">
        <f>SUMIFS(('Data Form'!M$6:M$686),('Data Form'!$D$6:$D$686),"1", ('Data Form'!$E$6:$E$686), "S",('Data Form'!$H$6:$H$686),"F")</f>
        <v>170074.02162303665</v>
      </c>
      <c r="I41" s="84">
        <f>SUMIFS(('Data Form'!N$6:N$686),('Data Form'!$D$6:$D$686),"1", ('Data Form'!$E$6:$E$686), "S",('Data Form'!$H$6:$H$686),"F")</f>
        <v>110560.48167539267</v>
      </c>
      <c r="J41" s="84">
        <f>SUMIFS(('Data Form'!O$6:O$686),('Data Form'!$D$6:$D$686),"1", ('Data Form'!$E$6:$E$686), "S",('Data Form'!$H$6:$H$686),"F")</f>
        <v>138909.39267015707</v>
      </c>
      <c r="K41" s="84">
        <f>SUMIFS(('Data Form'!P$6:P$686),('Data Form'!$D$6:$D$686),"1", ('Data Form'!$E$6:$E$686), "S",('Data Form'!$H$6:$H$686),"F")</f>
        <v>117745.50785340313</v>
      </c>
      <c r="L41" s="84">
        <f>SUMIFS(('Data Form'!Q$6:Q$686),('Data Form'!$D$6:$D$686),"1", ('Data Form'!$E$6:$E$686), "S",('Data Form'!$H$6:$H$686),"F")</f>
        <v>0</v>
      </c>
      <c r="M41" s="84">
        <f>SUMIFS(('Data Form'!R$6:R$686),('Data Form'!$D$6:$D$686),"1", ('Data Form'!$E$6:$E$686), "S",('Data Form'!$H$6:$H$686),"F")</f>
        <v>0</v>
      </c>
      <c r="N41" s="84">
        <f>SUMIFS(('Data Form'!S$6:S$686),('Data Form'!$D$6:$D$686),"1", ('Data Form'!$E$6:$E$686), "S",('Data Form'!$H$6:$H$686),"F")</f>
        <v>0</v>
      </c>
      <c r="O41" s="84">
        <f>SUMIFS(('Data Form'!T$6:T$686),('Data Form'!$D$6:$D$686),"1", ('Data Form'!$E$6:$E$686), "S",('Data Form'!$H$6:$H$686),"F")</f>
        <v>0</v>
      </c>
      <c r="P41" s="84">
        <f>SUMIFS(('Data Form'!U$6:U$686),('Data Form'!$D$6:$D$686),"1", ('Data Form'!$E$6:$E$686), "S",('Data Form'!$H$6:$H$686),"F")</f>
        <v>0</v>
      </c>
      <c r="Q41" s="84">
        <f>SUMIFS(('Data Form'!V$6:V$686),('Data Form'!$D$6:$D$686),"1", ('Data Form'!$E$6:$E$686), "S",('Data Form'!$H$6:$H$686),"F")</f>
        <v>0</v>
      </c>
      <c r="R41" s="84">
        <f>SUMIFS(('Data Form'!W$6:W$686),('Data Form'!$D$6:$D$686),"1", ('Data Form'!$E$6:$E$686), "S",('Data Form'!$H$6:$H$686),"F")</f>
        <v>0</v>
      </c>
      <c r="S41" s="84">
        <f>SUMIFS(('Data Form'!X$6:X$686),('Data Form'!$D$6:$D$686),"1", ('Data Form'!$E$6:$E$686), "S",('Data Form'!$H$6:$H$686),"F")</f>
        <v>0</v>
      </c>
      <c r="T41" s="84">
        <f>SUMIFS(('Data Form'!Y$6:Y$686),('Data Form'!$D$6:$D$686),"1", ('Data Form'!$E$6:$E$686), "S",('Data Form'!$H$6:$H$686),"F")</f>
        <v>0</v>
      </c>
      <c r="U41" s="84">
        <f>SUMIFS(('Data Form'!Z$6:Z$686),('Data Form'!$D$6:$D$686),"1", ('Data Form'!$E$6:$E$686), "S",('Data Form'!$H$6:$H$686),"F")</f>
        <v>0</v>
      </c>
      <c r="V41" s="84">
        <f>SUMIFS(('Data Form'!AA$6:AA$686),('Data Form'!$D$6:$D$686),"1", ('Data Form'!$E$6:$E$686), "S",('Data Form'!$H$6:$H$686),"F")</f>
        <v>0</v>
      </c>
      <c r="W41" s="84">
        <f>SUMIFS(('Data Form'!AB$6:AB$686),('Data Form'!$D$6:$D$686),"1", ('Data Form'!$E$6:$E$686), "S",('Data Form'!$H$6:$H$686),"F")</f>
        <v>0</v>
      </c>
      <c r="X41" s="84"/>
      <c r="Y41" s="1">
        <f t="shared" si="4"/>
        <v>844505.43</v>
      </c>
      <c r="Z41" s="1">
        <f t="shared" si="5"/>
        <v>0</v>
      </c>
    </row>
    <row r="42" spans="1:26" x14ac:dyDescent="0.25">
      <c r="A42" s="75" t="s">
        <v>363</v>
      </c>
      <c r="B42" s="27" t="s">
        <v>330</v>
      </c>
      <c r="C42" s="29"/>
      <c r="D42" s="311">
        <f>'Summary Data Part A'!J93</f>
        <v>25102</v>
      </c>
      <c r="E42" s="311"/>
      <c r="F42" s="311"/>
      <c r="G42" s="311">
        <f>(G41/$Y$41)*$D$42</f>
        <v>9131.6602773299146</v>
      </c>
      <c r="H42" s="311">
        <f t="shared" ref="H42:W42" si="6">(H41/$Y$41)*$D$42</f>
        <v>5055.2642281784565</v>
      </c>
      <c r="I42" s="311">
        <f t="shared" si="6"/>
        <v>3286.2893623025097</v>
      </c>
      <c r="J42" s="311">
        <f t="shared" si="6"/>
        <v>4128.9297273154098</v>
      </c>
      <c r="K42" s="311">
        <f t="shared" si="6"/>
        <v>3499.8564048737089</v>
      </c>
      <c r="L42" s="311">
        <f t="shared" si="6"/>
        <v>0</v>
      </c>
      <c r="M42" s="311">
        <f t="shared" si="6"/>
        <v>0</v>
      </c>
      <c r="N42" s="311">
        <f t="shared" si="6"/>
        <v>0</v>
      </c>
      <c r="O42" s="311">
        <f t="shared" si="6"/>
        <v>0</v>
      </c>
      <c r="P42" s="311">
        <f t="shared" si="6"/>
        <v>0</v>
      </c>
      <c r="Q42" s="311">
        <f t="shared" si="6"/>
        <v>0</v>
      </c>
      <c r="R42" s="311">
        <f t="shared" si="6"/>
        <v>0</v>
      </c>
      <c r="S42" s="311">
        <f t="shared" si="6"/>
        <v>0</v>
      </c>
      <c r="T42" s="311">
        <f t="shared" si="6"/>
        <v>0</v>
      </c>
      <c r="U42" s="311">
        <f t="shared" si="6"/>
        <v>0</v>
      </c>
      <c r="V42" s="311">
        <f t="shared" si="6"/>
        <v>0</v>
      </c>
      <c r="W42" s="311">
        <f t="shared" si="6"/>
        <v>0</v>
      </c>
      <c r="X42" s="311"/>
      <c r="Y42" s="311">
        <f t="shared" si="4"/>
        <v>25102</v>
      </c>
      <c r="Z42" s="311">
        <f t="shared" si="5"/>
        <v>0</v>
      </c>
    </row>
    <row r="43" spans="1:26" x14ac:dyDescent="0.25">
      <c r="A43" s="75" t="s">
        <v>364</v>
      </c>
      <c r="B43" s="27" t="s">
        <v>330</v>
      </c>
      <c r="C43" s="29"/>
      <c r="D43" s="84">
        <f>SUMIFS(('Data Form'!I$6:I$686), ('Data Form'!$E$6:$E$686), "S",('Data Form'!$H$6:$H$686),"F")-D41</f>
        <v>87748</v>
      </c>
      <c r="E43" s="84"/>
      <c r="F43" s="1"/>
      <c r="G43" s="84">
        <f>SUMIFS(('Data Form'!L$6:L$686), ('Data Form'!$E$6:$E$686), "S",('Data Form'!$H$6:$H$686),"F")-G41</f>
        <v>27269.385471204238</v>
      </c>
      <c r="H43" s="84">
        <f>SUMIFS(('Data Form'!M$6:M$686), ('Data Form'!$E$6:$E$686), "S",('Data Form'!$H$6:$H$686),"F")-H41</f>
        <v>21023.036649214628</v>
      </c>
      <c r="I43" s="84">
        <f>SUMIFS(('Data Form'!N$6:N$686), ('Data Form'!$E$6:$E$686), "S",('Data Form'!$H$6:$H$686),"F")-I41</f>
        <v>11733.767670157074</v>
      </c>
      <c r="J43" s="84">
        <f>SUMIFS(('Data Form'!O$6:O$686), ('Data Form'!$E$6:$E$686), "S",('Data Form'!$H$6:$H$686),"F")-J41</f>
        <v>13889.282068062836</v>
      </c>
      <c r="K43" s="84">
        <f>SUMIFS(('Data Form'!P$6:P$686), ('Data Form'!$E$6:$E$686), "S",('Data Form'!$H$6:$H$686),"F")-K41</f>
        <v>13832.528141361254</v>
      </c>
      <c r="L43" s="84">
        <f>SUMIFS(('Data Form'!Q$6:Q$686), ('Data Form'!$E$6:$E$686), "S",('Data Form'!$H$6:$H$686),"F")-L41</f>
        <v>0</v>
      </c>
      <c r="M43" s="84">
        <f>SUMIFS(('Data Form'!R$6:R$686), ('Data Form'!$E$6:$E$686), "S",('Data Form'!$H$6:$H$686),"F")-M41</f>
        <v>0</v>
      </c>
      <c r="N43" s="84">
        <f>SUMIFS(('Data Form'!S$6:S$686), ('Data Form'!$E$6:$E$686), "S",('Data Form'!$H$6:$H$686),"F")-N41</f>
        <v>0</v>
      </c>
      <c r="O43" s="84">
        <f>SUMIFS(('Data Form'!T$6:T$686), ('Data Form'!$E$6:$E$686), "S",('Data Form'!$H$6:$H$686),"F")-O41</f>
        <v>0</v>
      </c>
      <c r="P43" s="84">
        <f>SUMIFS(('Data Form'!U$6:U$686), ('Data Form'!$E$6:$E$686), "S",('Data Form'!$H$6:$H$686),"F")-P41</f>
        <v>0</v>
      </c>
      <c r="Q43" s="84">
        <f>SUMIFS(('Data Form'!V$6:V$686), ('Data Form'!$E$6:$E$686), "S",('Data Form'!$H$6:$H$686),"F")-Q41</f>
        <v>0</v>
      </c>
      <c r="R43" s="84">
        <f>SUMIFS(('Data Form'!W$6:W$686), ('Data Form'!$E$6:$E$686), "S",('Data Form'!$H$6:$H$686),"F")-R41</f>
        <v>0</v>
      </c>
      <c r="S43" s="84">
        <f>SUMIFS(('Data Form'!X$6:X$686), ('Data Form'!$E$6:$E$686), "S",('Data Form'!$H$6:$H$686),"F")-S41</f>
        <v>0</v>
      </c>
      <c r="T43" s="84">
        <f>SUMIFS(('Data Form'!Y$6:Y$686), ('Data Form'!$E$6:$E$686), "S",('Data Form'!$H$6:$H$686),"F")-T41</f>
        <v>0</v>
      </c>
      <c r="U43" s="84">
        <f>SUMIFS(('Data Form'!Z$6:Z$686), ('Data Form'!$E$6:$E$686), "S",('Data Form'!$H$6:$H$686),"F")-U41</f>
        <v>0</v>
      </c>
      <c r="V43" s="84">
        <f>SUMIFS(('Data Form'!AA$6:AA$686), ('Data Form'!$E$6:$E$686), "S",('Data Form'!$H$6:$H$686),"F")-V41</f>
        <v>0</v>
      </c>
      <c r="W43" s="84">
        <f>SUMIFS(('Data Form'!AB$6:AB$686), ('Data Form'!$E$6:$E$686), "S",('Data Form'!$H$6:$H$686),"F")-W41</f>
        <v>0</v>
      </c>
      <c r="X43" s="84"/>
      <c r="Y43" s="1">
        <f t="shared" si="4"/>
        <v>87748.000000000029</v>
      </c>
      <c r="Z43" s="1">
        <f t="shared" si="5"/>
        <v>0</v>
      </c>
    </row>
    <row r="44" spans="1:26" s="27" customFormat="1" ht="15.75" thickBot="1" x14ac:dyDescent="0.3">
      <c r="A44" s="81" t="s">
        <v>389</v>
      </c>
      <c r="C44" s="85"/>
      <c r="D44" s="86">
        <f>SUM(D38:D43)</f>
        <v>45078689.65975599</v>
      </c>
      <c r="E44" s="87"/>
      <c r="F44" s="80"/>
      <c r="G44" s="86">
        <f t="shared" ref="G44:W44" si="7">SUM(G38:G43)</f>
        <v>15615500.991717869</v>
      </c>
      <c r="H44" s="86">
        <f t="shared" si="7"/>
        <v>10496865.622842638</v>
      </c>
      <c r="I44" s="86">
        <f t="shared" si="7"/>
        <v>6044155.1107852235</v>
      </c>
      <c r="J44" s="86">
        <f t="shared" si="7"/>
        <v>6491369.7395286616</v>
      </c>
      <c r="K44" s="86">
        <f t="shared" si="7"/>
        <v>6430798.194881605</v>
      </c>
      <c r="L44" s="86">
        <f t="shared" si="7"/>
        <v>0</v>
      </c>
      <c r="M44" s="86">
        <f t="shared" si="7"/>
        <v>0</v>
      </c>
      <c r="N44" s="86">
        <f t="shared" si="7"/>
        <v>0</v>
      </c>
      <c r="O44" s="86">
        <f t="shared" si="7"/>
        <v>0</v>
      </c>
      <c r="P44" s="86">
        <f t="shared" si="7"/>
        <v>0</v>
      </c>
      <c r="Q44" s="86">
        <f t="shared" si="7"/>
        <v>0</v>
      </c>
      <c r="R44" s="86">
        <f t="shared" si="7"/>
        <v>0</v>
      </c>
      <c r="S44" s="86">
        <f t="shared" si="7"/>
        <v>0</v>
      </c>
      <c r="T44" s="86">
        <f t="shared" si="7"/>
        <v>0</v>
      </c>
      <c r="U44" s="86">
        <f t="shared" si="7"/>
        <v>0</v>
      </c>
      <c r="V44" s="86">
        <f t="shared" si="7"/>
        <v>0</v>
      </c>
      <c r="W44" s="86">
        <f t="shared" si="7"/>
        <v>0</v>
      </c>
      <c r="X44" s="86"/>
      <c r="Y44" s="79">
        <f>SUM(Y38:Y43)</f>
        <v>45078689.659755997</v>
      </c>
      <c r="Z44" s="79">
        <f>SUM(Z38:Z43)</f>
        <v>3.7252902984619141E-9</v>
      </c>
    </row>
    <row r="45" spans="1:26" ht="15.75" thickTop="1" x14ac:dyDescent="0.25">
      <c r="Y45" s="1"/>
    </row>
    <row r="46" spans="1:26" x14ac:dyDescent="0.25">
      <c r="B46" s="27" t="s">
        <v>381</v>
      </c>
      <c r="D46" s="80">
        <f>'Fringe Benefits'!$Z$20</f>
        <v>45078689.65975599</v>
      </c>
      <c r="E46" s="83" t="s">
        <v>384</v>
      </c>
      <c r="Y46" s="1"/>
    </row>
    <row r="47" spans="1:26" x14ac:dyDescent="0.25">
      <c r="Y47" s="1"/>
    </row>
    <row r="48" spans="1:26" x14ac:dyDescent="0.25">
      <c r="D48" s="2">
        <f>D10-D8</f>
        <v>0</v>
      </c>
    </row>
    <row r="49" spans="4:4" x14ac:dyDescent="0.25">
      <c r="D49" s="2">
        <f>D33-D35</f>
        <v>0</v>
      </c>
    </row>
    <row r="50" spans="4:4" x14ac:dyDescent="0.25">
      <c r="D50" s="2">
        <f>D46-D44</f>
        <v>0</v>
      </c>
    </row>
  </sheetData>
  <pageMargins left="0.25" right="0.25" top="0.75" bottom="0.75" header="0.3" footer="0.3"/>
  <pageSetup paperSize="5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19CD-16B4-4F47-944A-175D78560D11}">
  <sheetPr>
    <tabColor rgb="FF00B0F0"/>
    <pageSetUpPr fitToPage="1"/>
  </sheetPr>
  <dimension ref="A1:H96"/>
  <sheetViews>
    <sheetView topLeftCell="A73" workbookViewId="0">
      <selection activeCell="H50" sqref="H50"/>
    </sheetView>
  </sheetViews>
  <sheetFormatPr defaultColWidth="9.140625" defaultRowHeight="16.5" x14ac:dyDescent="0.3"/>
  <cols>
    <col min="1" max="1" width="5" style="222" customWidth="1"/>
    <col min="2" max="2" width="62.85546875" style="182" bestFit="1" customWidth="1"/>
    <col min="3" max="5" width="15.42578125" style="222" bestFit="1" customWidth="1"/>
    <col min="6" max="6" width="12.5703125" style="222" customWidth="1"/>
    <col min="7" max="8" width="15.42578125" style="222" customWidth="1"/>
    <col min="9" max="16384" width="9.140625" style="222"/>
  </cols>
  <sheetData>
    <row r="1" spans="1:8" s="182" customFormat="1" ht="18" customHeight="1" x14ac:dyDescent="0.35">
      <c r="A1" s="218"/>
      <c r="B1" s="219" t="s">
        <v>45</v>
      </c>
      <c r="F1" s="220" t="s">
        <v>46</v>
      </c>
      <c r="G1" s="364" t="s">
        <v>1801</v>
      </c>
      <c r="H1" s="365"/>
    </row>
    <row r="2" spans="1:8" x14ac:dyDescent="0.3">
      <c r="A2" s="221"/>
      <c r="F2" s="220" t="s">
        <v>47</v>
      </c>
      <c r="G2" s="362" t="s">
        <v>1802</v>
      </c>
      <c r="H2" s="366"/>
    </row>
    <row r="3" spans="1:8" x14ac:dyDescent="0.3">
      <c r="A3" s="221"/>
      <c r="F3" s="220" t="s">
        <v>48</v>
      </c>
      <c r="G3" s="367" t="s">
        <v>238</v>
      </c>
      <c r="H3" s="368"/>
    </row>
    <row r="4" spans="1:8" x14ac:dyDescent="0.3">
      <c r="A4" s="221"/>
      <c r="B4" s="223" t="s">
        <v>49</v>
      </c>
      <c r="F4" s="220"/>
      <c r="G4" s="224"/>
      <c r="H4" s="224"/>
    </row>
    <row r="5" spans="1:8" x14ac:dyDescent="0.3">
      <c r="B5" s="225"/>
      <c r="C5" s="226"/>
      <c r="D5" s="227"/>
      <c r="E5" s="228" t="s">
        <v>50</v>
      </c>
      <c r="F5" s="227"/>
      <c r="G5" s="227"/>
      <c r="H5" s="229"/>
    </row>
    <row r="6" spans="1:8" x14ac:dyDescent="0.3">
      <c r="B6" s="230" t="s">
        <v>51</v>
      </c>
      <c r="C6" s="362" t="s">
        <v>1806</v>
      </c>
      <c r="D6" s="363"/>
      <c r="E6" s="231" t="s">
        <v>52</v>
      </c>
      <c r="F6" s="221"/>
      <c r="G6" s="362" t="s">
        <v>1803</v>
      </c>
      <c r="H6" s="363"/>
    </row>
    <row r="7" spans="1:8" x14ac:dyDescent="0.3">
      <c r="B7" s="230" t="s">
        <v>53</v>
      </c>
      <c r="C7" s="362" t="s">
        <v>1807</v>
      </c>
      <c r="D7" s="363"/>
      <c r="E7" s="231" t="s">
        <v>54</v>
      </c>
      <c r="F7" s="221"/>
      <c r="G7" s="362"/>
      <c r="H7" s="363"/>
    </row>
    <row r="8" spans="1:8" x14ac:dyDescent="0.3">
      <c r="B8" s="230" t="s">
        <v>55</v>
      </c>
      <c r="C8" s="362" t="s">
        <v>1808</v>
      </c>
      <c r="D8" s="363"/>
      <c r="E8" s="231" t="s">
        <v>56</v>
      </c>
      <c r="F8" s="221"/>
      <c r="G8" s="362" t="s">
        <v>1804</v>
      </c>
      <c r="H8" s="363"/>
    </row>
    <row r="9" spans="1:8" x14ac:dyDescent="0.3">
      <c r="B9" s="232" t="s">
        <v>57</v>
      </c>
      <c r="C9" s="362" t="s">
        <v>1809</v>
      </c>
      <c r="D9" s="363"/>
      <c r="E9" s="233" t="s">
        <v>58</v>
      </c>
      <c r="F9" s="234"/>
      <c r="G9" s="362" t="s">
        <v>1805</v>
      </c>
      <c r="H9" s="363"/>
    </row>
    <row r="10" spans="1:8" x14ac:dyDescent="0.3">
      <c r="B10" s="221"/>
      <c r="C10" s="235"/>
      <c r="D10" s="221"/>
      <c r="E10" s="221"/>
      <c r="F10" s="221"/>
      <c r="G10" s="221"/>
      <c r="H10" s="221"/>
    </row>
    <row r="11" spans="1:8" x14ac:dyDescent="0.3">
      <c r="B11" s="223" t="s">
        <v>59</v>
      </c>
    </row>
    <row r="12" spans="1:8" x14ac:dyDescent="0.3">
      <c r="B12" s="236"/>
      <c r="C12" s="237"/>
      <c r="D12" s="360" t="s">
        <v>60</v>
      </c>
      <c r="E12" s="361"/>
      <c r="F12" s="227"/>
      <c r="G12" s="227"/>
      <c r="H12" s="229"/>
    </row>
    <row r="13" spans="1:8" x14ac:dyDescent="0.3">
      <c r="B13" s="187" t="s">
        <v>61</v>
      </c>
      <c r="C13" s="238" t="s">
        <v>62</v>
      </c>
      <c r="D13" s="239" t="s">
        <v>63</v>
      </c>
      <c r="E13" s="239" t="s">
        <v>64</v>
      </c>
      <c r="F13" s="221"/>
      <c r="G13" s="221"/>
      <c r="H13" s="240"/>
    </row>
    <row r="14" spans="1:8" x14ac:dyDescent="0.3">
      <c r="A14" s="222" t="s">
        <v>7</v>
      </c>
      <c r="B14" s="189" t="s">
        <v>65</v>
      </c>
      <c r="C14" s="241">
        <f>SUM(D14:E14)</f>
        <v>70885844</v>
      </c>
      <c r="D14" s="242">
        <f>+'Summary Data Part A'!I5</f>
        <v>70885844</v>
      </c>
      <c r="E14" s="242">
        <f>+'Summary Data Part A'!J5</f>
        <v>0</v>
      </c>
      <c r="F14" s="221"/>
      <c r="G14" s="221"/>
      <c r="H14" s="240"/>
    </row>
    <row r="15" spans="1:8" x14ac:dyDescent="0.3">
      <c r="A15" s="222" t="s">
        <v>14</v>
      </c>
      <c r="B15" s="189" t="s">
        <v>66</v>
      </c>
      <c r="C15" s="241">
        <f>SUM(D15:E15)</f>
        <v>1098820.08</v>
      </c>
      <c r="D15" s="242">
        <f>+'Summary Data Part A'!I6</f>
        <v>0</v>
      </c>
      <c r="E15" s="242">
        <f>+'Summary Data Part A'!J6</f>
        <v>1098820.08</v>
      </c>
      <c r="F15" s="221"/>
      <c r="G15" s="221"/>
      <c r="H15" s="240"/>
    </row>
    <row r="16" spans="1:8" x14ac:dyDescent="0.3">
      <c r="A16" s="222" t="s">
        <v>16</v>
      </c>
      <c r="B16" s="189" t="s">
        <v>67</v>
      </c>
      <c r="C16" s="241">
        <f>SUM(D16:E16)</f>
        <v>1004481</v>
      </c>
      <c r="D16" s="242">
        <f>+'Summary Data Part A'!I7</f>
        <v>844481</v>
      </c>
      <c r="E16" s="242">
        <f>+'Summary Data Part A'!J7</f>
        <v>160000</v>
      </c>
      <c r="F16" s="221"/>
      <c r="G16" s="221"/>
      <c r="H16" s="240"/>
    </row>
    <row r="17" spans="1:8" x14ac:dyDescent="0.3">
      <c r="A17" s="222" t="s">
        <v>239</v>
      </c>
      <c r="B17" s="189" t="s">
        <v>68</v>
      </c>
      <c r="C17" s="241">
        <f>SUM(D17:E17)</f>
        <v>0</v>
      </c>
      <c r="D17" s="242">
        <f>+'Summary Data Part A'!I8</f>
        <v>0</v>
      </c>
      <c r="E17" s="242">
        <f>+'Summary Data Part A'!J8</f>
        <v>0</v>
      </c>
      <c r="F17" s="221"/>
      <c r="G17" s="221"/>
      <c r="H17" s="240"/>
    </row>
    <row r="18" spans="1:8" x14ac:dyDescent="0.3">
      <c r="B18" s="191" t="s">
        <v>69</v>
      </c>
      <c r="C18" s="243">
        <f>SUM(C14:C17)</f>
        <v>72989145.079999998</v>
      </c>
      <c r="D18" s="243">
        <f>SUM(D14:D17)</f>
        <v>71730325</v>
      </c>
      <c r="E18" s="243">
        <f>SUM(E14:E17)</f>
        <v>1258820.08</v>
      </c>
      <c r="F18" s="221"/>
      <c r="G18" s="221"/>
      <c r="H18" s="240"/>
    </row>
    <row r="19" spans="1:8" x14ac:dyDescent="0.3">
      <c r="B19" s="230"/>
      <c r="C19" s="235"/>
      <c r="D19" s="221"/>
      <c r="E19" s="221"/>
      <c r="F19" s="221"/>
      <c r="G19" s="221"/>
      <c r="H19" s="240"/>
    </row>
    <row r="20" spans="1:8" x14ac:dyDescent="0.3">
      <c r="B20" s="230"/>
      <c r="C20" s="235"/>
      <c r="D20" s="360" t="s">
        <v>60</v>
      </c>
      <c r="E20" s="361"/>
      <c r="F20" s="221"/>
      <c r="G20" s="221"/>
      <c r="H20" s="240"/>
    </row>
    <row r="21" spans="1:8" x14ac:dyDescent="0.3">
      <c r="B21" s="187" t="s">
        <v>70</v>
      </c>
      <c r="C21" s="244" t="s">
        <v>62</v>
      </c>
      <c r="D21" s="239" t="s">
        <v>63</v>
      </c>
      <c r="E21" s="239" t="s">
        <v>64</v>
      </c>
      <c r="F21" s="221"/>
      <c r="G21" s="221"/>
      <c r="H21" s="240"/>
    </row>
    <row r="22" spans="1:8" x14ac:dyDescent="0.3">
      <c r="A22" s="222" t="s">
        <v>5</v>
      </c>
      <c r="B22" s="189" t="s">
        <v>71</v>
      </c>
      <c r="C22" s="241">
        <f t="shared" ref="C22:C28" si="0">SUM(D22:E22)</f>
        <v>358500</v>
      </c>
      <c r="D22" s="242">
        <f>+'Summary Data Part A'!I13</f>
        <v>358500</v>
      </c>
      <c r="E22" s="242">
        <f>+'Summary Data Part A'!J13</f>
        <v>0</v>
      </c>
      <c r="F22" s="221"/>
      <c r="G22" s="221"/>
      <c r="H22" s="240"/>
    </row>
    <row r="23" spans="1:8" x14ac:dyDescent="0.3">
      <c r="A23" s="222" t="s">
        <v>15</v>
      </c>
      <c r="B23" s="189" t="s">
        <v>72</v>
      </c>
      <c r="C23" s="241">
        <f t="shared" si="0"/>
        <v>5984337</v>
      </c>
      <c r="D23" s="242">
        <f>+'Summary Data Part A'!I14</f>
        <v>5984337</v>
      </c>
      <c r="E23" s="242">
        <f>+'Summary Data Part A'!J14</f>
        <v>0</v>
      </c>
      <c r="F23" s="221"/>
      <c r="G23" s="221"/>
      <c r="H23" s="240"/>
    </row>
    <row r="24" spans="1:8" x14ac:dyDescent="0.3">
      <c r="A24" s="222" t="s">
        <v>6</v>
      </c>
      <c r="B24" s="189" t="s">
        <v>73</v>
      </c>
      <c r="C24" s="241">
        <f t="shared" si="0"/>
        <v>1004481</v>
      </c>
      <c r="D24" s="242">
        <f>+'Summary Data Part A'!I15</f>
        <v>844481</v>
      </c>
      <c r="E24" s="242">
        <f>+'Summary Data Part A'!J15</f>
        <v>160000</v>
      </c>
      <c r="F24" s="221"/>
      <c r="G24" s="221"/>
      <c r="H24" s="240"/>
    </row>
    <row r="25" spans="1:8" x14ac:dyDescent="0.3">
      <c r="A25" s="222" t="s">
        <v>240</v>
      </c>
      <c r="B25" s="189" t="s">
        <v>74</v>
      </c>
      <c r="C25" s="241">
        <f t="shared" si="0"/>
        <v>35798</v>
      </c>
      <c r="D25" s="242">
        <f>+'Summary Data Part A'!I16+'Summary Data Part A'!I17</f>
        <v>35798</v>
      </c>
      <c r="E25" s="242">
        <f>+'Summary Data Part A'!J16+'Summary Data Part A'!J17</f>
        <v>0</v>
      </c>
      <c r="F25" s="221"/>
      <c r="G25" s="221"/>
      <c r="H25" s="240"/>
    </row>
    <row r="26" spans="1:8" x14ac:dyDescent="0.3">
      <c r="A26" s="222" t="s">
        <v>241</v>
      </c>
      <c r="B26" s="189" t="s">
        <v>75</v>
      </c>
      <c r="C26" s="241">
        <f t="shared" si="0"/>
        <v>84558</v>
      </c>
      <c r="D26" s="242">
        <f>+'Summary Data Part A'!I18+'Summary Data Part A'!I19</f>
        <v>84558</v>
      </c>
      <c r="E26" s="242">
        <f>+'Summary Data Part A'!J18+'Summary Data Part A'!J19</f>
        <v>0</v>
      </c>
      <c r="F26" s="221"/>
      <c r="G26" s="221"/>
      <c r="H26" s="240"/>
    </row>
    <row r="27" spans="1:8" x14ac:dyDescent="0.3">
      <c r="A27" s="222" t="s">
        <v>242</v>
      </c>
      <c r="B27" s="189" t="s">
        <v>76</v>
      </c>
      <c r="C27" s="241">
        <f t="shared" si="0"/>
        <v>4049928</v>
      </c>
      <c r="D27" s="242">
        <f>+'Summary Data Part A'!I20+'Summary Data Part A'!I21</f>
        <v>4049928</v>
      </c>
      <c r="E27" s="242">
        <f>+'Summary Data Part A'!J20+'Summary Data Part A'!J21</f>
        <v>0</v>
      </c>
      <c r="F27" s="221"/>
      <c r="G27" s="221"/>
      <c r="H27" s="240"/>
    </row>
    <row r="28" spans="1:8" x14ac:dyDescent="0.3">
      <c r="A28" s="222" t="s">
        <v>243</v>
      </c>
      <c r="B28" s="189" t="s">
        <v>77</v>
      </c>
      <c r="C28" s="241">
        <f t="shared" si="0"/>
        <v>1009009.6799999999</v>
      </c>
      <c r="D28" s="242">
        <f>+'Summary Data Part A'!I22</f>
        <v>1009009.6799999999</v>
      </c>
      <c r="E28" s="242">
        <f>+'Summary Data Part A'!J22</f>
        <v>0</v>
      </c>
      <c r="F28" s="221"/>
      <c r="G28" s="221"/>
      <c r="H28" s="240"/>
    </row>
    <row r="29" spans="1:8" x14ac:dyDescent="0.3">
      <c r="B29" s="191" t="s">
        <v>78</v>
      </c>
      <c r="C29" s="243">
        <f>SUM(C22:C28)</f>
        <v>12526611.68</v>
      </c>
      <c r="D29" s="243">
        <f>SUM(D22:D28)</f>
        <v>12366611.68</v>
      </c>
      <c r="E29" s="243">
        <f>SUM(E22:E28)</f>
        <v>160000</v>
      </c>
      <c r="F29" s="221"/>
      <c r="G29" s="221"/>
      <c r="H29" s="240"/>
    </row>
    <row r="30" spans="1:8" x14ac:dyDescent="0.3">
      <c r="B30" s="230"/>
      <c r="C30" s="235"/>
      <c r="D30" s="221"/>
      <c r="E30" s="221"/>
      <c r="F30" s="221"/>
      <c r="G30" s="221"/>
      <c r="H30" s="240"/>
    </row>
    <row r="31" spans="1:8" x14ac:dyDescent="0.3">
      <c r="B31" s="230"/>
      <c r="C31" s="235"/>
      <c r="D31" s="360" t="s">
        <v>60</v>
      </c>
      <c r="E31" s="361"/>
      <c r="G31" s="224"/>
      <c r="H31" s="240"/>
    </row>
    <row r="32" spans="1:8" x14ac:dyDescent="0.3">
      <c r="B32" s="187" t="s">
        <v>79</v>
      </c>
      <c r="C32" s="244" t="s">
        <v>62</v>
      </c>
      <c r="D32" s="239" t="s">
        <v>63</v>
      </c>
      <c r="E32" s="239" t="s">
        <v>64</v>
      </c>
      <c r="F32" s="245" t="s">
        <v>80</v>
      </c>
      <c r="G32" s="224"/>
      <c r="H32" s="240"/>
    </row>
    <row r="33" spans="1:8" x14ac:dyDescent="0.3">
      <c r="A33" s="222" t="s">
        <v>8</v>
      </c>
      <c r="B33" s="189" t="s">
        <v>81</v>
      </c>
      <c r="C33" s="241">
        <f t="shared" ref="C33:C45" si="1">SUM(D33:E33)</f>
        <v>0</v>
      </c>
      <c r="D33" s="242">
        <f>'Summary Data Part A'!I27+'Summary Data Part A'!I28</f>
        <v>0</v>
      </c>
      <c r="E33" s="242">
        <f>'Summary Data Part A'!J27+'Summary Data Part A'!J28</f>
        <v>0</v>
      </c>
      <c r="F33" s="246">
        <f>'Summary Data Part A'!F28</f>
        <v>0</v>
      </c>
      <c r="G33" s="224"/>
      <c r="H33" s="240"/>
    </row>
    <row r="34" spans="1:8" x14ac:dyDescent="0.3">
      <c r="A34" s="222" t="s">
        <v>9</v>
      </c>
      <c r="B34" s="189" t="s">
        <v>82</v>
      </c>
      <c r="C34" s="241">
        <f t="shared" si="1"/>
        <v>0</v>
      </c>
      <c r="D34" s="242">
        <f>+'Summary Data Part A'!I29+'Summary Data Part A'!I30</f>
        <v>0</v>
      </c>
      <c r="E34" s="242">
        <f>+'Summary Data Part A'!J29+'Summary Data Part A'!J30</f>
        <v>0</v>
      </c>
      <c r="F34" s="247">
        <f>'Summary Data Part A'!F29</f>
        <v>0</v>
      </c>
      <c r="G34" s="224"/>
      <c r="H34" s="240"/>
    </row>
    <row r="35" spans="1:8" x14ac:dyDescent="0.3">
      <c r="A35" s="222" t="s">
        <v>10</v>
      </c>
      <c r="B35" s="189" t="s">
        <v>83</v>
      </c>
      <c r="C35" s="241">
        <f t="shared" si="1"/>
        <v>400000</v>
      </c>
      <c r="D35" s="242">
        <f>'Summary Data Part A'!I31+'Summary Data Part A'!I32</f>
        <v>400000</v>
      </c>
      <c r="E35" s="242">
        <f>'Summary Data Part A'!J31+'Summary Data Part A'!J32</f>
        <v>0</v>
      </c>
      <c r="F35" s="247">
        <f>'Summary Data Part A'!F32</f>
        <v>7</v>
      </c>
      <c r="G35" s="224"/>
      <c r="H35" s="240"/>
    </row>
    <row r="36" spans="1:8" x14ac:dyDescent="0.3">
      <c r="A36" s="222" t="s">
        <v>244</v>
      </c>
      <c r="B36" s="189" t="s">
        <v>84</v>
      </c>
      <c r="C36" s="241">
        <f t="shared" si="1"/>
        <v>0</v>
      </c>
      <c r="D36" s="242">
        <f>+'Summary Data Part A'!I33+'Summary Data Part A'!I34</f>
        <v>0</v>
      </c>
      <c r="E36" s="242">
        <f>+'Summary Data Part A'!J33+'Summary Data Part A'!J34</f>
        <v>0</v>
      </c>
      <c r="F36" s="247">
        <f>'Summary Data Part A'!F34</f>
        <v>0</v>
      </c>
      <c r="G36" s="224"/>
      <c r="H36" s="240"/>
    </row>
    <row r="37" spans="1:8" x14ac:dyDescent="0.3">
      <c r="A37" s="222" t="s">
        <v>245</v>
      </c>
      <c r="B37" s="189" t="s">
        <v>85</v>
      </c>
      <c r="C37" s="241">
        <f t="shared" si="1"/>
        <v>1199384</v>
      </c>
      <c r="D37" s="242">
        <f>+'Summary Data Part A'!I35+'Summary Data Part A'!I36</f>
        <v>1199384</v>
      </c>
      <c r="E37" s="242">
        <f>+'Summary Data Part A'!J35+'Summary Data Part A'!J36</f>
        <v>0</v>
      </c>
      <c r="F37" s="247">
        <f>'Summary Data Part A'!F36</f>
        <v>12</v>
      </c>
      <c r="G37" s="224"/>
      <c r="H37" s="240"/>
    </row>
    <row r="38" spans="1:8" x14ac:dyDescent="0.3">
      <c r="A38" s="222" t="s">
        <v>246</v>
      </c>
      <c r="B38" s="189" t="s">
        <v>86</v>
      </c>
      <c r="C38" s="241">
        <f t="shared" si="1"/>
        <v>1210000</v>
      </c>
      <c r="D38" s="242">
        <f>+'Summary Data Part A'!I37+'Summary Data Part A'!I38</f>
        <v>1210000</v>
      </c>
      <c r="E38" s="242">
        <f>+'Summary Data Part A'!J37+'Summary Data Part A'!J38</f>
        <v>0</v>
      </c>
      <c r="F38" s="247">
        <f>'Summary Data Part A'!F38</f>
        <v>16</v>
      </c>
      <c r="G38" s="224"/>
      <c r="H38" s="240"/>
    </row>
    <row r="39" spans="1:8" x14ac:dyDescent="0.3">
      <c r="A39" s="222" t="s">
        <v>247</v>
      </c>
      <c r="B39" s="189" t="s">
        <v>87</v>
      </c>
      <c r="C39" s="241">
        <f t="shared" si="1"/>
        <v>0</v>
      </c>
      <c r="D39" s="242">
        <f>+'Summary Data Part A'!I39+'Summary Data Part A'!I40</f>
        <v>0</v>
      </c>
      <c r="E39" s="242">
        <f>+'Summary Data Part A'!J39+'Summary Data Part A'!J40</f>
        <v>0</v>
      </c>
      <c r="F39" s="247">
        <f>'Summary Data Part A'!F40</f>
        <v>0</v>
      </c>
      <c r="G39" s="224"/>
      <c r="H39" s="240"/>
    </row>
    <row r="40" spans="1:8" x14ac:dyDescent="0.3">
      <c r="A40" s="222" t="s">
        <v>248</v>
      </c>
      <c r="B40" s="189" t="s">
        <v>88</v>
      </c>
      <c r="C40" s="241">
        <f t="shared" si="1"/>
        <v>0</v>
      </c>
      <c r="D40" s="242">
        <f>+'Summary Data Part A'!I41+'Summary Data Part A'!I42</f>
        <v>0</v>
      </c>
      <c r="E40" s="242">
        <f>+'Summary Data Part A'!J41+'Summary Data Part A'!J42</f>
        <v>0</v>
      </c>
      <c r="F40" s="247">
        <f>'Summary Data Part A'!F42</f>
        <v>0</v>
      </c>
      <c r="G40" s="224"/>
      <c r="H40" s="240"/>
    </row>
    <row r="41" spans="1:8" x14ac:dyDescent="0.3">
      <c r="A41" s="222" t="s">
        <v>249</v>
      </c>
      <c r="B41" s="189" t="s">
        <v>89</v>
      </c>
      <c r="C41" s="241">
        <f t="shared" si="1"/>
        <v>0</v>
      </c>
      <c r="D41" s="242">
        <f>+'Summary Data Part A'!I43+'Summary Data Part A'!I44</f>
        <v>0</v>
      </c>
      <c r="E41" s="242">
        <f>+'Summary Data Part A'!J43+'Summary Data Part A'!J44</f>
        <v>0</v>
      </c>
      <c r="F41" s="247">
        <f>'Summary Data Part A'!F44</f>
        <v>0</v>
      </c>
      <c r="G41" s="224"/>
      <c r="H41" s="240"/>
    </row>
    <row r="42" spans="1:8" x14ac:dyDescent="0.3">
      <c r="A42" s="222" t="s">
        <v>250</v>
      </c>
      <c r="B42" s="189" t="s">
        <v>90</v>
      </c>
      <c r="C42" s="241">
        <f t="shared" si="1"/>
        <v>0</v>
      </c>
      <c r="D42" s="242">
        <f>+'Summary Data Part A'!I45+'Summary Data Part A'!I46</f>
        <v>0</v>
      </c>
      <c r="E42" s="242">
        <f>+'Summary Data Part A'!J45+'Summary Data Part A'!J46</f>
        <v>0</v>
      </c>
      <c r="F42" s="247">
        <f>'Summary Data Part A'!F46</f>
        <v>0</v>
      </c>
      <c r="G42" s="224"/>
      <c r="H42" s="240"/>
    </row>
    <row r="43" spans="1:8" x14ac:dyDescent="0.3">
      <c r="A43" s="222" t="s">
        <v>251</v>
      </c>
      <c r="B43" s="189" t="s">
        <v>91</v>
      </c>
      <c r="C43" s="241">
        <f t="shared" si="1"/>
        <v>126141.65</v>
      </c>
      <c r="D43" s="242">
        <f>+'Summary Data Part A'!I47+'Summary Data Part A'!I48</f>
        <v>0</v>
      </c>
      <c r="E43" s="242">
        <f>+'Summary Data Part A'!J47+'Summary Data Part A'!J48</f>
        <v>126141.65</v>
      </c>
      <c r="F43" s="247">
        <f>'Summary Data Part A'!F47</f>
        <v>0</v>
      </c>
      <c r="G43" s="224"/>
      <c r="H43" s="240"/>
    </row>
    <row r="44" spans="1:8" x14ac:dyDescent="0.3">
      <c r="A44" s="222" t="s">
        <v>252</v>
      </c>
      <c r="B44" s="189" t="s">
        <v>452</v>
      </c>
      <c r="C44" s="241">
        <f t="shared" ref="C44" si="2">SUM(D44:E44)</f>
        <v>0</v>
      </c>
      <c r="D44" s="242">
        <f>+'Summary Data Part A'!I49+'Summary Data Part A'!I50</f>
        <v>0</v>
      </c>
      <c r="E44" s="242">
        <f>+'Summary Data Part A'!J49+'Summary Data Part A'!J50</f>
        <v>0</v>
      </c>
      <c r="F44" s="247">
        <f>'Summary Data Part A'!F49</f>
        <v>0</v>
      </c>
      <c r="G44" s="224"/>
      <c r="H44" s="240"/>
    </row>
    <row r="45" spans="1:8" x14ac:dyDescent="0.3">
      <c r="A45" s="222" t="s">
        <v>455</v>
      </c>
      <c r="B45" s="189" t="s">
        <v>77</v>
      </c>
      <c r="C45" s="241">
        <f t="shared" si="1"/>
        <v>15322.89</v>
      </c>
      <c r="D45" s="242">
        <f>+'Summary Data Part A'!I51</f>
        <v>0</v>
      </c>
      <c r="E45" s="242">
        <f>+'Summary Data Part A'!J51</f>
        <v>15322.89</v>
      </c>
      <c r="F45" s="221"/>
      <c r="G45" s="221"/>
      <c r="H45" s="240"/>
    </row>
    <row r="46" spans="1:8" x14ac:dyDescent="0.3">
      <c r="B46" s="191" t="s">
        <v>92</v>
      </c>
      <c r="C46" s="243">
        <f>SUM(C33:C45)</f>
        <v>2950848.54</v>
      </c>
      <c r="D46" s="307">
        <f>SUM(D33:D45)</f>
        <v>2809384</v>
      </c>
      <c r="E46" s="243">
        <f>SUM(E33:E45)</f>
        <v>141464.53999999998</v>
      </c>
      <c r="F46" s="248"/>
      <c r="G46" s="224"/>
      <c r="H46" s="240"/>
    </row>
    <row r="47" spans="1:8" x14ac:dyDescent="0.3">
      <c r="B47" s="191"/>
      <c r="C47" s="249"/>
      <c r="D47" s="249"/>
      <c r="E47" s="249"/>
      <c r="F47" s="221"/>
      <c r="G47" s="221"/>
      <c r="H47" s="240"/>
    </row>
    <row r="48" spans="1:8" x14ac:dyDescent="0.3">
      <c r="B48" s="191" t="s">
        <v>93</v>
      </c>
      <c r="C48" s="243">
        <f>SUM(C29,C46)</f>
        <v>15477460.219999999</v>
      </c>
      <c r="D48" s="243">
        <f>SUM(D29,D46)</f>
        <v>15175995.68</v>
      </c>
      <c r="E48" s="243">
        <f>SUM(E29,E46)</f>
        <v>301464.53999999998</v>
      </c>
      <c r="F48" s="221"/>
      <c r="G48" s="221"/>
      <c r="H48" s="240"/>
    </row>
    <row r="49" spans="1:8" x14ac:dyDescent="0.3">
      <c r="B49" s="191"/>
      <c r="C49" s="243"/>
      <c r="D49" s="243"/>
      <c r="E49" s="243"/>
      <c r="F49" s="221"/>
      <c r="G49" s="221"/>
      <c r="H49" s="240"/>
    </row>
    <row r="50" spans="1:8" x14ac:dyDescent="0.3">
      <c r="B50" s="203" t="s">
        <v>94</v>
      </c>
      <c r="C50" s="243"/>
      <c r="D50" s="243"/>
      <c r="E50" s="243"/>
      <c r="F50" s="221"/>
      <c r="G50" s="221"/>
      <c r="H50" s="240"/>
    </row>
    <row r="51" spans="1:8" x14ac:dyDescent="0.3">
      <c r="A51" s="222" t="s">
        <v>253</v>
      </c>
      <c r="B51" s="189" t="s">
        <v>95</v>
      </c>
      <c r="C51" s="250">
        <f>'Summary Data Part A'!F55</f>
        <v>3075</v>
      </c>
      <c r="D51" s="243"/>
      <c r="E51" s="243"/>
      <c r="F51" s="221"/>
      <c r="G51" s="221"/>
      <c r="H51" s="240"/>
    </row>
    <row r="52" spans="1:8" x14ac:dyDescent="0.3">
      <c r="A52" s="222" t="s">
        <v>254</v>
      </c>
      <c r="B52" s="189" t="s">
        <v>96</v>
      </c>
      <c r="C52" s="250">
        <f>'Summary Data Part A'!F56</f>
        <v>0</v>
      </c>
      <c r="D52" s="243"/>
      <c r="E52" s="243"/>
      <c r="F52" s="221"/>
      <c r="G52" s="221"/>
      <c r="H52" s="240"/>
    </row>
    <row r="53" spans="1:8" x14ac:dyDescent="0.3">
      <c r="A53" s="222" t="s">
        <v>255</v>
      </c>
      <c r="B53" s="189" t="s">
        <v>97</v>
      </c>
      <c r="C53" s="250">
        <f>'Summary Data Part A'!F57</f>
        <v>0</v>
      </c>
      <c r="D53" s="243"/>
      <c r="E53" s="243"/>
      <c r="F53" s="221"/>
      <c r="G53" s="221"/>
      <c r="H53" s="240"/>
    </row>
    <row r="54" spans="1:8" x14ac:dyDescent="0.3">
      <c r="B54" s="189" t="s">
        <v>98</v>
      </c>
      <c r="C54" s="248">
        <f>SUM(C51:C53)</f>
        <v>3075</v>
      </c>
      <c r="D54" s="243"/>
      <c r="E54" s="243"/>
      <c r="F54" s="221"/>
      <c r="G54" s="221"/>
      <c r="H54" s="240"/>
    </row>
    <row r="55" spans="1:8" x14ac:dyDescent="0.3">
      <c r="B55" s="230"/>
      <c r="C55" s="235"/>
      <c r="D55" s="235"/>
      <c r="E55" s="235"/>
      <c r="F55" s="221"/>
      <c r="H55" s="240"/>
    </row>
    <row r="56" spans="1:8" x14ac:dyDescent="0.3">
      <c r="B56" s="191" t="s">
        <v>99</v>
      </c>
      <c r="C56" s="243">
        <f>C18-C48</f>
        <v>57511684.859999999</v>
      </c>
      <c r="D56" s="243">
        <f>D18-D48</f>
        <v>56554329.32</v>
      </c>
      <c r="E56" s="243">
        <f>E18-E48</f>
        <v>957355.54</v>
      </c>
      <c r="F56" s="221"/>
      <c r="G56" s="221"/>
      <c r="H56" s="240"/>
    </row>
    <row r="57" spans="1:8" x14ac:dyDescent="0.3">
      <c r="B57" s="251" t="s">
        <v>100</v>
      </c>
      <c r="C57" s="252">
        <f>IFERROR(C56/$C$54,"")</f>
        <v>18702.986946341462</v>
      </c>
      <c r="D57" s="252">
        <f>IFERROR(SUM(D56)/SUM($C$54),"")</f>
        <v>18391.651811382115</v>
      </c>
      <c r="E57" s="252">
        <f>IFERROR(SUM(E56)/SUM($C$54),"")</f>
        <v>311.3351349593496</v>
      </c>
      <c r="F57" s="234"/>
      <c r="G57" s="234"/>
      <c r="H57" s="253"/>
    </row>
    <row r="58" spans="1:8" x14ac:dyDescent="0.3">
      <c r="C58" s="226"/>
      <c r="D58" s="226"/>
      <c r="E58" s="226"/>
      <c r="F58" s="227"/>
      <c r="G58" s="227"/>
      <c r="H58" s="227"/>
    </row>
    <row r="59" spans="1:8" x14ac:dyDescent="0.3">
      <c r="B59" s="223" t="s">
        <v>101</v>
      </c>
      <c r="C59" s="235"/>
      <c r="D59" s="235"/>
      <c r="E59" s="235"/>
      <c r="F59" s="221"/>
      <c r="G59" s="221"/>
      <c r="H59" s="234"/>
    </row>
    <row r="60" spans="1:8" x14ac:dyDescent="0.3">
      <c r="B60" s="236"/>
      <c r="C60" s="226"/>
      <c r="D60" s="360" t="s">
        <v>60</v>
      </c>
      <c r="E60" s="361"/>
      <c r="F60" s="211" t="s">
        <v>102</v>
      </c>
      <c r="G60" s="227"/>
      <c r="H60" s="229"/>
    </row>
    <row r="61" spans="1:8" x14ac:dyDescent="0.3">
      <c r="B61" s="187" t="s">
        <v>103</v>
      </c>
      <c r="C61" s="244" t="s">
        <v>62</v>
      </c>
      <c r="D61" s="239" t="s">
        <v>63</v>
      </c>
      <c r="E61" s="239" t="s">
        <v>64</v>
      </c>
      <c r="F61" s="254" t="s">
        <v>104</v>
      </c>
      <c r="G61" s="221"/>
      <c r="H61" s="240"/>
    </row>
    <row r="62" spans="1:8" x14ac:dyDescent="0.3">
      <c r="A62" s="255" t="s">
        <v>17</v>
      </c>
      <c r="B62" s="189" t="s">
        <v>105</v>
      </c>
      <c r="C62" s="241">
        <f>SUM(D62:E62)</f>
        <v>28139</v>
      </c>
      <c r="D62" s="242">
        <f>'Summary Data Part A'!I62+'Summary Data Part A'!I63</f>
        <v>28139</v>
      </c>
      <c r="E62" s="242">
        <f>'Summary Data Part A'!J62+'Summary Data Part A'!J63</f>
        <v>0</v>
      </c>
      <c r="F62" s="256">
        <f>'Summary Data Part A'!F62</f>
        <v>0</v>
      </c>
      <c r="G62" s="221"/>
      <c r="H62" s="240"/>
    </row>
    <row r="63" spans="1:8" x14ac:dyDescent="0.3">
      <c r="A63" s="255" t="s">
        <v>12</v>
      </c>
      <c r="B63" s="189" t="s">
        <v>106</v>
      </c>
      <c r="C63" s="241">
        <f>SUM(D63:E63)</f>
        <v>1523402</v>
      </c>
      <c r="D63" s="242">
        <f>+'Summary Data Part A'!I64+'Summary Data Part A'!I65</f>
        <v>1523402</v>
      </c>
      <c r="E63" s="242">
        <f>'Summary Data Part A'!J64+'Summary Data Part A'!J65</f>
        <v>0</v>
      </c>
      <c r="F63" s="256">
        <f>'Summary Data Part A'!F64</f>
        <v>12</v>
      </c>
      <c r="G63" s="221"/>
      <c r="H63" s="240"/>
    </row>
    <row r="64" spans="1:8" x14ac:dyDescent="0.3">
      <c r="A64" s="255" t="s">
        <v>13</v>
      </c>
      <c r="B64" s="189" t="s">
        <v>107</v>
      </c>
      <c r="C64" s="241">
        <f>SUM(D64:E64)</f>
        <v>4313554</v>
      </c>
      <c r="D64" s="242">
        <f>'Summary Data Part A'!I66+'Summary Data Part A'!I67</f>
        <v>4313554</v>
      </c>
      <c r="E64" s="242">
        <f>+'Summary Data Part A'!J66+'Summary Data Part A'!J67</f>
        <v>0</v>
      </c>
      <c r="F64" s="256">
        <f>'Summary Data Part A'!F66</f>
        <v>40.5</v>
      </c>
      <c r="G64" s="221"/>
      <c r="H64" s="240"/>
    </row>
    <row r="65" spans="1:8" x14ac:dyDescent="0.3">
      <c r="A65" s="255" t="s">
        <v>256</v>
      </c>
      <c r="B65" s="189" t="s">
        <v>108</v>
      </c>
      <c r="C65" s="241">
        <f>SUM(D65:E65)</f>
        <v>1136083</v>
      </c>
      <c r="D65" s="242">
        <f>+'Summary Data Part A'!I68+'Summary Data Part A'!I69</f>
        <v>1136083</v>
      </c>
      <c r="E65" s="242">
        <f>+'Summary Data Part A'!J68+'Summary Data Part A'!J69</f>
        <v>0</v>
      </c>
      <c r="F65" s="256">
        <f>'Summary Data Part A'!F68</f>
        <v>0</v>
      </c>
      <c r="G65" s="221"/>
      <c r="H65" s="240"/>
    </row>
    <row r="66" spans="1:8" x14ac:dyDescent="0.3">
      <c r="A66" s="222" t="s">
        <v>257</v>
      </c>
      <c r="B66" s="189" t="s">
        <v>109</v>
      </c>
      <c r="C66" s="241">
        <f>SUM(D66:E66)</f>
        <v>1303503.46</v>
      </c>
      <c r="D66" s="242">
        <f>+'Summary Data Part A'!I70</f>
        <v>1303503.46</v>
      </c>
      <c r="E66" s="242">
        <f>+'Summary Data Part A'!J70</f>
        <v>0</v>
      </c>
      <c r="F66" s="257"/>
      <c r="G66" s="221"/>
      <c r="H66" s="240"/>
    </row>
    <row r="67" spans="1:8" x14ac:dyDescent="0.3">
      <c r="B67" s="209" t="s">
        <v>110</v>
      </c>
      <c r="C67" s="243">
        <f>SUM(C62:C66)</f>
        <v>8304681.46</v>
      </c>
      <c r="D67" s="243">
        <f>SUM(D62:D66)</f>
        <v>8304681.46</v>
      </c>
      <c r="E67" s="243">
        <f>SUM(E62:E66)</f>
        <v>0</v>
      </c>
      <c r="F67" s="258">
        <f>SUM(F62:F65)</f>
        <v>52.5</v>
      </c>
      <c r="G67" s="221"/>
      <c r="H67" s="240"/>
    </row>
    <row r="68" spans="1:8" x14ac:dyDescent="0.3">
      <c r="B68" s="209" t="s">
        <v>111</v>
      </c>
      <c r="C68" s="259">
        <f>IFERROR(C67/$C$54,"")</f>
        <v>2700.7094178861789</v>
      </c>
      <c r="D68" s="259">
        <f>IFERROR(D67/$C$54,"")</f>
        <v>2700.7094178861789</v>
      </c>
      <c r="E68" s="259">
        <f>IFERROR(E67/$C$54,"")</f>
        <v>0</v>
      </c>
      <c r="F68" s="221"/>
      <c r="G68" s="221"/>
      <c r="H68" s="240"/>
    </row>
    <row r="69" spans="1:8" x14ac:dyDescent="0.3">
      <c r="B69" s="209"/>
      <c r="C69" s="235"/>
      <c r="D69" s="221"/>
      <c r="E69" s="221"/>
      <c r="F69" s="221"/>
      <c r="G69" s="221"/>
      <c r="H69" s="240"/>
    </row>
    <row r="70" spans="1:8" x14ac:dyDescent="0.3">
      <c r="B70" s="189"/>
      <c r="C70" s="235"/>
      <c r="D70" s="360" t="s">
        <v>60</v>
      </c>
      <c r="E70" s="361"/>
      <c r="F70" s="211" t="s">
        <v>102</v>
      </c>
      <c r="G70" s="221"/>
      <c r="H70" s="240"/>
    </row>
    <row r="71" spans="1:8" x14ac:dyDescent="0.3">
      <c r="B71" s="210" t="s">
        <v>112</v>
      </c>
      <c r="C71" s="244" t="s">
        <v>62</v>
      </c>
      <c r="D71" s="239" t="s">
        <v>63</v>
      </c>
      <c r="E71" s="239" t="s">
        <v>64</v>
      </c>
      <c r="F71" s="254" t="s">
        <v>104</v>
      </c>
      <c r="G71" s="221"/>
      <c r="H71" s="240"/>
    </row>
    <row r="72" spans="1:8" x14ac:dyDescent="0.3">
      <c r="A72" s="222" t="s">
        <v>11</v>
      </c>
      <c r="B72" s="189" t="s">
        <v>113</v>
      </c>
      <c r="C72" s="241">
        <f t="shared" ref="C72:C78" si="3">SUM(D72:E72)</f>
        <v>192469</v>
      </c>
      <c r="D72" s="242">
        <f>'Summary Data Part A'!I74+'Summary Data Part A'!I75</f>
        <v>192469</v>
      </c>
      <c r="E72" s="242">
        <f>+'Summary Data Part A'!J74+'Summary Data Part A'!J75</f>
        <v>0</v>
      </c>
      <c r="F72" s="256">
        <f>+'Summary Data Part A'!F74</f>
        <v>2</v>
      </c>
      <c r="G72" s="221"/>
      <c r="H72" s="240"/>
    </row>
    <row r="73" spans="1:8" x14ac:dyDescent="0.3">
      <c r="A73" s="222" t="s">
        <v>18</v>
      </c>
      <c r="B73" s="189" t="s">
        <v>114</v>
      </c>
      <c r="C73" s="241">
        <f t="shared" si="3"/>
        <v>18732</v>
      </c>
      <c r="D73" s="242">
        <f>+'Summary Data Part A'!I76+'Summary Data Part A'!I77</f>
        <v>18732</v>
      </c>
      <c r="E73" s="242">
        <f>+'Summary Data Part A'!J76+'Summary Data Part A'!J77</f>
        <v>0</v>
      </c>
      <c r="F73" s="256">
        <f>+'Summary Data Part A'!F76</f>
        <v>0</v>
      </c>
      <c r="G73" s="221"/>
      <c r="H73" s="240"/>
    </row>
    <row r="74" spans="1:8" x14ac:dyDescent="0.3">
      <c r="A74" s="222" t="s">
        <v>19</v>
      </c>
      <c r="B74" s="189" t="s">
        <v>115</v>
      </c>
      <c r="C74" s="241">
        <f t="shared" si="3"/>
        <v>55046</v>
      </c>
      <c r="D74" s="242">
        <f>+'Summary Data Part A'!I78+'Summary Data Part A'!I79</f>
        <v>55046</v>
      </c>
      <c r="E74" s="242">
        <f>+'Summary Data Part A'!J78+'Summary Data Part A'!J79</f>
        <v>0</v>
      </c>
      <c r="F74" s="256">
        <f>+'Summary Data Part A'!F78</f>
        <v>0</v>
      </c>
      <c r="G74" s="221"/>
      <c r="H74" s="240"/>
    </row>
    <row r="75" spans="1:8" x14ac:dyDescent="0.3">
      <c r="A75" s="222" t="s">
        <v>258</v>
      </c>
      <c r="B75" s="189" t="s">
        <v>116</v>
      </c>
      <c r="C75" s="241">
        <f t="shared" si="3"/>
        <v>373571</v>
      </c>
      <c r="D75" s="242">
        <f>+'Summary Data Part A'!I80+'Summary Data Part A'!I81</f>
        <v>373571</v>
      </c>
      <c r="E75" s="242">
        <f>+'Summary Data Part A'!J80+'Summary Data Part A'!J81</f>
        <v>0</v>
      </c>
      <c r="F75" s="256">
        <f>+'Summary Data Part A'!F80</f>
        <v>4</v>
      </c>
      <c r="G75" s="221"/>
      <c r="H75" s="240"/>
    </row>
    <row r="76" spans="1:8" x14ac:dyDescent="0.3">
      <c r="A76" s="222" t="s">
        <v>259</v>
      </c>
      <c r="B76" s="189" t="s">
        <v>117</v>
      </c>
      <c r="C76" s="241">
        <f t="shared" si="3"/>
        <v>210280</v>
      </c>
      <c r="D76" s="242">
        <f>+'Summary Data Part A'!I82+'Summary Data Part A'!I83</f>
        <v>210280</v>
      </c>
      <c r="E76" s="242">
        <f>+'Summary Data Part A'!J82+'Summary Data Part A'!J83</f>
        <v>0</v>
      </c>
      <c r="F76" s="256">
        <f>+'Summary Data Part A'!F82</f>
        <v>0</v>
      </c>
      <c r="G76" s="221"/>
      <c r="H76" s="240"/>
    </row>
    <row r="77" spans="1:8" x14ac:dyDescent="0.3">
      <c r="A77" s="222" t="s">
        <v>260</v>
      </c>
      <c r="B77" s="189" t="s">
        <v>118</v>
      </c>
      <c r="C77" s="241">
        <f t="shared" si="3"/>
        <v>949828</v>
      </c>
      <c r="D77" s="242">
        <f>+'Summary Data Part A'!I84+'Summary Data Part A'!I85</f>
        <v>949828</v>
      </c>
      <c r="E77" s="242">
        <f>+'Summary Data Part A'!J84+'Summary Data Part A'!J85</f>
        <v>0</v>
      </c>
      <c r="F77" s="256">
        <f>+'Summary Data Part A'!F84</f>
        <v>13</v>
      </c>
      <c r="G77" s="221"/>
      <c r="H77" s="240"/>
    </row>
    <row r="78" spans="1:8" x14ac:dyDescent="0.3">
      <c r="A78" s="222" t="s">
        <v>261</v>
      </c>
      <c r="B78" s="189" t="s">
        <v>119</v>
      </c>
      <c r="C78" s="241">
        <f t="shared" si="3"/>
        <v>678387.75</v>
      </c>
      <c r="D78" s="242">
        <f>+'Summary Data Part A'!I86</f>
        <v>678387.75</v>
      </c>
      <c r="E78" s="242">
        <f>+'Summary Data Part A'!J86</f>
        <v>0</v>
      </c>
      <c r="F78" s="257"/>
      <c r="G78" s="221"/>
      <c r="H78" s="240"/>
    </row>
    <row r="79" spans="1:8" x14ac:dyDescent="0.3">
      <c r="B79" s="209" t="s">
        <v>120</v>
      </c>
      <c r="C79" s="243">
        <f>SUM(C72:C78)</f>
        <v>2478313.75</v>
      </c>
      <c r="D79" s="243">
        <f>SUM(D72:D78)</f>
        <v>2478313.75</v>
      </c>
      <c r="E79" s="243">
        <f>SUM(E72:E78)</f>
        <v>0</v>
      </c>
      <c r="F79" s="258">
        <f>SUM(F72:F77)</f>
        <v>19</v>
      </c>
      <c r="G79" s="221"/>
      <c r="H79" s="240"/>
    </row>
    <row r="80" spans="1:8" x14ac:dyDescent="0.3">
      <c r="B80" s="209" t="s">
        <v>121</v>
      </c>
      <c r="C80" s="259">
        <f>IFERROR(C79/$C$54,"")</f>
        <v>805.95569105691061</v>
      </c>
      <c r="D80" s="259">
        <f>IFERROR(D79/$C$54,"")</f>
        <v>805.95569105691061</v>
      </c>
      <c r="E80" s="259">
        <f>IFERROR(E79/$C$54,"")</f>
        <v>0</v>
      </c>
      <c r="F80" s="260"/>
      <c r="G80" s="221"/>
      <c r="H80" s="240"/>
    </row>
    <row r="81" spans="1:8" x14ac:dyDescent="0.3">
      <c r="B81" s="209"/>
      <c r="C81" s="182"/>
      <c r="D81" s="182"/>
      <c r="E81" s="182"/>
      <c r="F81" s="221"/>
      <c r="G81" s="221"/>
      <c r="H81" s="240"/>
    </row>
    <row r="82" spans="1:8" x14ac:dyDescent="0.3">
      <c r="B82" s="209" t="s">
        <v>122</v>
      </c>
      <c r="C82" s="261">
        <f>SUM(D82:E82)</f>
        <v>1650000</v>
      </c>
      <c r="D82" s="242">
        <f>'Fringe Benefits'!E8-'Fringe Benefits'!I9</f>
        <v>1650000</v>
      </c>
      <c r="E82" s="242">
        <f>'Fringe Benefits'!I9</f>
        <v>0</v>
      </c>
      <c r="F82" s="221"/>
      <c r="G82" s="221"/>
      <c r="H82" s="240"/>
    </row>
    <row r="83" spans="1:8" x14ac:dyDescent="0.3">
      <c r="B83" s="209" t="s">
        <v>123</v>
      </c>
      <c r="C83" s="259">
        <f>IFERROR(C82/$C$54,"")</f>
        <v>536.58536585365857</v>
      </c>
      <c r="D83" s="259">
        <f>IFERROR(D82/$C$54,"")</f>
        <v>536.58536585365857</v>
      </c>
      <c r="E83" s="259">
        <f>IFERROR(E82/$C$54,"")</f>
        <v>0</v>
      </c>
      <c r="F83" s="221"/>
      <c r="G83" s="221"/>
      <c r="H83" s="240"/>
    </row>
    <row r="84" spans="1:8" x14ac:dyDescent="0.3">
      <c r="A84" s="255"/>
      <c r="B84" s="262"/>
      <c r="C84" s="221"/>
      <c r="D84" s="243"/>
      <c r="E84" s="243"/>
      <c r="F84" s="221"/>
      <c r="G84" s="221"/>
      <c r="H84" s="240"/>
    </row>
    <row r="85" spans="1:8" x14ac:dyDescent="0.3">
      <c r="B85" s="209" t="s">
        <v>124</v>
      </c>
      <c r="C85" s="243">
        <f t="shared" ref="C85:E86" si="4">SUM(C67,C79,C82)</f>
        <v>12432995.210000001</v>
      </c>
      <c r="D85" s="243">
        <f t="shared" si="4"/>
        <v>12432995.210000001</v>
      </c>
      <c r="E85" s="243">
        <f t="shared" si="4"/>
        <v>0</v>
      </c>
      <c r="F85" s="221"/>
      <c r="G85" s="221"/>
      <c r="H85" s="240"/>
    </row>
    <row r="86" spans="1:8" x14ac:dyDescent="0.3">
      <c r="B86" s="209" t="s">
        <v>125</v>
      </c>
      <c r="C86" s="263">
        <f t="shared" si="4"/>
        <v>4043.2504747967482</v>
      </c>
      <c r="D86" s="264">
        <f t="shared" si="4"/>
        <v>4043.2504747967482</v>
      </c>
      <c r="E86" s="264">
        <f t="shared" si="4"/>
        <v>0</v>
      </c>
      <c r="F86" s="221"/>
      <c r="G86" s="221"/>
      <c r="H86" s="240"/>
    </row>
    <row r="87" spans="1:8" x14ac:dyDescent="0.3">
      <c r="B87" s="209"/>
      <c r="C87" s="264"/>
      <c r="D87" s="264"/>
      <c r="E87" s="264"/>
      <c r="F87" s="221"/>
      <c r="G87" s="221"/>
      <c r="H87" s="240"/>
    </row>
    <row r="88" spans="1:8" x14ac:dyDescent="0.3">
      <c r="B88" s="265" t="s">
        <v>126</v>
      </c>
      <c r="C88" s="266">
        <f>C56-C85</f>
        <v>45078689.649999999</v>
      </c>
      <c r="D88" s="266">
        <f>D56-D85</f>
        <v>44121334.109999999</v>
      </c>
      <c r="E88" s="266">
        <f>E56-E85</f>
        <v>957355.54</v>
      </c>
      <c r="F88" s="221"/>
      <c r="G88" s="221"/>
      <c r="H88" s="240"/>
    </row>
    <row r="89" spans="1:8" x14ac:dyDescent="0.3">
      <c r="B89" s="251" t="s">
        <v>100</v>
      </c>
      <c r="C89" s="252">
        <f>IFERROR(C88/$C$54,"")</f>
        <v>14659.736471544715</v>
      </c>
      <c r="D89" s="267"/>
      <c r="E89" s="267"/>
      <c r="F89" s="234"/>
      <c r="G89" s="234"/>
      <c r="H89" s="253"/>
    </row>
    <row r="90" spans="1:8" x14ac:dyDescent="0.3">
      <c r="G90" s="221"/>
      <c r="H90" s="221"/>
    </row>
    <row r="91" spans="1:8" x14ac:dyDescent="0.3">
      <c r="B91" s="223" t="s">
        <v>127</v>
      </c>
      <c r="C91" s="268"/>
      <c r="G91" s="221"/>
      <c r="H91" s="234"/>
    </row>
    <row r="92" spans="1:8" x14ac:dyDescent="0.3">
      <c r="A92" s="222" t="s">
        <v>253</v>
      </c>
      <c r="B92" s="236" t="s">
        <v>39</v>
      </c>
      <c r="C92" s="269">
        <f>'Fringe Benefits'!E7</f>
        <v>16788874</v>
      </c>
      <c r="D92" s="227"/>
      <c r="E92" s="227"/>
      <c r="F92" s="227"/>
      <c r="G92" s="227"/>
      <c r="H92" s="229"/>
    </row>
    <row r="93" spans="1:8" x14ac:dyDescent="0.3">
      <c r="A93" s="222" t="s">
        <v>254</v>
      </c>
      <c r="B93" s="230" t="s">
        <v>40</v>
      </c>
      <c r="C93" s="270">
        <f>'Fringe Benefits'!E8</f>
        <v>1650000</v>
      </c>
      <c r="D93" s="221"/>
      <c r="E93" s="221"/>
      <c r="F93" s="221"/>
      <c r="G93" s="221"/>
      <c r="H93" s="240"/>
    </row>
    <row r="94" spans="1:8" x14ac:dyDescent="0.3">
      <c r="A94" s="222" t="s">
        <v>255</v>
      </c>
      <c r="B94" s="230" t="s">
        <v>41</v>
      </c>
      <c r="C94" s="270">
        <f>'Fringe Benefits'!E9</f>
        <v>15138874</v>
      </c>
      <c r="D94" s="221"/>
      <c r="E94" s="221"/>
      <c r="F94" s="221"/>
      <c r="G94" s="221"/>
      <c r="H94" s="240"/>
    </row>
    <row r="95" spans="1:8" x14ac:dyDescent="0.3">
      <c r="A95" s="222" t="s">
        <v>316</v>
      </c>
      <c r="B95" s="230" t="s">
        <v>42</v>
      </c>
      <c r="C95" s="269">
        <f>'Fringe Benefits'!E5</f>
        <v>37543657.43</v>
      </c>
      <c r="D95" s="221"/>
      <c r="E95" s="221"/>
      <c r="F95" s="221"/>
      <c r="G95" s="221"/>
      <c r="H95" s="240"/>
    </row>
    <row r="96" spans="1:8" x14ac:dyDescent="0.3">
      <c r="A96" s="222" t="s">
        <v>317</v>
      </c>
      <c r="B96" s="232" t="s">
        <v>43</v>
      </c>
      <c r="C96" s="271">
        <f>IFERROR(ROUND(C94/C95,4),"0.00%")</f>
        <v>0.4032</v>
      </c>
      <c r="D96" s="234"/>
      <c r="E96" s="234"/>
      <c r="F96" s="234"/>
      <c r="G96" s="234"/>
      <c r="H96" s="253"/>
    </row>
  </sheetData>
  <sheetProtection algorithmName="SHA-512" hashValue="4Sa4tCMcHStvfwZZ9yvaR+ARREE7O1P5LNUOH5jA9A2BTokTfKrepyY9ULnPrnA5HtTQm2wqNyy3xUIMKxADYA==" saltValue="SVnRHhrhTaOWKqvkdMyvSw==" spinCount="100000" sheet="1" objects="1" scenarios="1"/>
  <mergeCells count="16">
    <mergeCell ref="C7:D7"/>
    <mergeCell ref="G7:H7"/>
    <mergeCell ref="G1:H1"/>
    <mergeCell ref="G2:H2"/>
    <mergeCell ref="G3:H3"/>
    <mergeCell ref="C6:D6"/>
    <mergeCell ref="G6:H6"/>
    <mergeCell ref="D31:E31"/>
    <mergeCell ref="D60:E60"/>
    <mergeCell ref="D70:E70"/>
    <mergeCell ref="C8:D8"/>
    <mergeCell ref="G8:H8"/>
    <mergeCell ref="C9:D9"/>
    <mergeCell ref="G9:H9"/>
    <mergeCell ref="D12:E12"/>
    <mergeCell ref="D20:E20"/>
  </mergeCells>
  <dataValidations disablePrompts="1" count="2">
    <dataValidation type="textLength" operator="equal" allowBlank="1" showInputMessage="1" showErrorMessage="1" errorTitle="Zip Code Entry Error" error="Please input a 5 digit zip code." sqref="G9:H9" xr:uid="{D586EFCE-565E-4F4E-AF89-F0E6D59AA5A7}">
      <formula1>5</formula1>
    </dataValidation>
    <dataValidation type="textLength" operator="equal" allowBlank="1" showInputMessage="1" showErrorMessage="1" errorTitle="Code Length Error" error="Please input the district BEDS Code with exactly 6 characters." sqref="G2:H2" xr:uid="{47BF7ECE-71DC-445F-9377-0044E2EE81A7}">
      <formula1>6</formula1>
    </dataValidation>
  </dataValidations>
  <pageMargins left="0.25" right="0.25" top="0.75" bottom="0.75" header="0.3" footer="0.3"/>
  <pageSetup paperSize="3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1DF2-54C9-41EB-9315-B4FE987DF6CF}">
  <sheetPr>
    <tabColor rgb="FF00B0F0"/>
    <pageSetUpPr fitToPage="1"/>
  </sheetPr>
  <dimension ref="A1:W28"/>
  <sheetViews>
    <sheetView topLeftCell="E7" workbookViewId="0">
      <selection activeCell="K13" sqref="K13"/>
    </sheetView>
  </sheetViews>
  <sheetFormatPr defaultColWidth="9.140625" defaultRowHeight="16.5" x14ac:dyDescent="0.3"/>
  <cols>
    <col min="1" max="1" width="15.5703125" style="32" customWidth="1"/>
    <col min="2" max="2" width="40.42578125" style="32" bestFit="1" customWidth="1"/>
    <col min="3" max="3" width="24.42578125" style="32" customWidth="1"/>
    <col min="4" max="4" width="23.85546875" style="32" customWidth="1"/>
    <col min="5" max="6" width="11" style="32" customWidth="1"/>
    <col min="7" max="10" width="13.7109375" style="32" customWidth="1"/>
    <col min="11" max="16" width="12" style="32" customWidth="1"/>
    <col min="17" max="23" width="15.7109375" style="32" customWidth="1"/>
    <col min="24" max="16384" width="9.140625" style="32"/>
  </cols>
  <sheetData>
    <row r="1" spans="1:23" customFormat="1" ht="18" customHeight="1" x14ac:dyDescent="0.35">
      <c r="A1" s="30" t="s">
        <v>128</v>
      </c>
    </row>
    <row r="2" spans="1:23" customFormat="1" ht="15" customHeight="1" x14ac:dyDescent="0.25"/>
    <row r="3" spans="1:23" customFormat="1" ht="15" customHeight="1" x14ac:dyDescent="0.25"/>
    <row r="5" spans="1:23" s="31" customFormat="1" ht="15" customHeight="1" x14ac:dyDescent="0.3"/>
    <row r="6" spans="1:23" s="33" customFormat="1" ht="15" customHeight="1" x14ac:dyDescent="0.3">
      <c r="E6" s="369" t="s">
        <v>129</v>
      </c>
      <c r="F6" s="370"/>
      <c r="G6" s="369" t="s">
        <v>130</v>
      </c>
      <c r="H6" s="371"/>
      <c r="I6" s="371"/>
      <c r="J6" s="370"/>
      <c r="K6" s="369" t="s">
        <v>131</v>
      </c>
      <c r="L6" s="371"/>
      <c r="M6" s="371"/>
      <c r="N6" s="371"/>
      <c r="O6" s="371"/>
      <c r="P6" s="370"/>
      <c r="Q6" s="369" t="s">
        <v>132</v>
      </c>
      <c r="R6" s="371"/>
      <c r="S6" s="371"/>
      <c r="T6" s="371"/>
      <c r="U6" s="371"/>
      <c r="V6" s="371"/>
      <c r="W6" s="370"/>
    </row>
    <row r="7" spans="1:23" s="42" customFormat="1" ht="75" x14ac:dyDescent="0.3">
      <c r="A7" s="39" t="s">
        <v>47</v>
      </c>
      <c r="B7" s="39" t="s">
        <v>133</v>
      </c>
      <c r="C7" s="39" t="s">
        <v>134</v>
      </c>
      <c r="D7" s="39" t="s">
        <v>135</v>
      </c>
      <c r="E7" s="39" t="s">
        <v>136</v>
      </c>
      <c r="F7" s="40" t="s">
        <v>137</v>
      </c>
      <c r="G7" s="39" t="s">
        <v>138</v>
      </c>
      <c r="H7" s="40" t="s">
        <v>390</v>
      </c>
      <c r="I7" s="40" t="s">
        <v>139</v>
      </c>
      <c r="J7" s="40" t="s">
        <v>140</v>
      </c>
      <c r="K7" s="39" t="s">
        <v>141</v>
      </c>
      <c r="L7" s="40" t="s">
        <v>142</v>
      </c>
      <c r="M7" s="40" t="s">
        <v>143</v>
      </c>
      <c r="N7" s="40" t="s">
        <v>144</v>
      </c>
      <c r="O7" s="40" t="s">
        <v>145</v>
      </c>
      <c r="P7" s="40" t="s">
        <v>146</v>
      </c>
      <c r="Q7" s="39" t="s">
        <v>147</v>
      </c>
      <c r="R7" s="40" t="s">
        <v>148</v>
      </c>
      <c r="S7" s="40" t="s">
        <v>149</v>
      </c>
      <c r="T7" s="40" t="s">
        <v>150</v>
      </c>
      <c r="U7" s="40" t="s">
        <v>151</v>
      </c>
      <c r="V7" s="40" t="s">
        <v>152</v>
      </c>
      <c r="W7" s="41" t="s">
        <v>102</v>
      </c>
    </row>
    <row r="8" spans="1:23" s="42" customFormat="1" ht="15" x14ac:dyDescent="0.3">
      <c r="A8" s="278" t="s">
        <v>1810</v>
      </c>
      <c r="B8" s="89" t="str">
        <f>'Summary Data Part C'!$G$1</f>
        <v>High School</v>
      </c>
      <c r="C8" s="272"/>
      <c r="D8" s="273" t="s">
        <v>1815</v>
      </c>
      <c r="E8" s="274">
        <v>9</v>
      </c>
      <c r="F8" s="274">
        <v>12</v>
      </c>
      <c r="G8" s="274" t="s">
        <v>1819</v>
      </c>
      <c r="H8" s="274"/>
      <c r="I8" s="274" t="s">
        <v>1820</v>
      </c>
      <c r="J8" s="275"/>
      <c r="K8" s="276">
        <v>1005</v>
      </c>
      <c r="L8" s="276">
        <v>0</v>
      </c>
      <c r="M8" s="276">
        <v>0</v>
      </c>
      <c r="N8" s="276">
        <v>180</v>
      </c>
      <c r="O8" s="276">
        <v>0</v>
      </c>
      <c r="P8" s="276">
        <v>137</v>
      </c>
      <c r="Q8" s="277"/>
      <c r="R8" s="277">
        <v>87.35</v>
      </c>
      <c r="S8" s="277">
        <f>5+16</f>
        <v>21</v>
      </c>
      <c r="T8" s="277">
        <v>3</v>
      </c>
      <c r="U8" s="277">
        <f>8.2+2+2</f>
        <v>12.2</v>
      </c>
      <c r="V8" s="277">
        <f>7.5+5.5</f>
        <v>13</v>
      </c>
      <c r="W8" s="43">
        <f>SUM(Q8:V8)</f>
        <v>136.55000000000001</v>
      </c>
    </row>
    <row r="9" spans="1:23" s="42" customFormat="1" ht="15" x14ac:dyDescent="0.3">
      <c r="A9" s="278" t="s">
        <v>1811</v>
      </c>
      <c r="B9" s="89" t="str">
        <f>'Summary Data Part C'!$H$1</f>
        <v>Middle School</v>
      </c>
      <c r="C9" s="272"/>
      <c r="D9" s="273" t="s">
        <v>1816</v>
      </c>
      <c r="E9" s="274">
        <v>6</v>
      </c>
      <c r="F9" s="274">
        <v>8</v>
      </c>
      <c r="G9" s="274" t="s">
        <v>1819</v>
      </c>
      <c r="H9" s="274"/>
      <c r="I9" s="274" t="s">
        <v>1820</v>
      </c>
      <c r="J9" s="275"/>
      <c r="K9" s="276">
        <v>714</v>
      </c>
      <c r="L9" s="276">
        <v>0</v>
      </c>
      <c r="M9" s="276">
        <v>0</v>
      </c>
      <c r="N9" s="276">
        <v>140</v>
      </c>
      <c r="O9" s="276">
        <v>1</v>
      </c>
      <c r="P9" s="276">
        <v>118</v>
      </c>
      <c r="Q9" s="277"/>
      <c r="R9" s="277">
        <v>67.099999999999994</v>
      </c>
      <c r="S9" s="277">
        <f>1+21</f>
        <v>22</v>
      </c>
      <c r="T9" s="277">
        <v>2</v>
      </c>
      <c r="U9" s="277">
        <f>6.2+2</f>
        <v>8.1999999999999993</v>
      </c>
      <c r="V9" s="277">
        <f>3.5+2</f>
        <v>5.5</v>
      </c>
      <c r="W9" s="43">
        <f t="shared" ref="W9:W24" si="0">SUM(Q9:V9)</f>
        <v>104.8</v>
      </c>
    </row>
    <row r="10" spans="1:23" s="42" customFormat="1" ht="15" x14ac:dyDescent="0.3">
      <c r="A10" s="278" t="s">
        <v>1812</v>
      </c>
      <c r="B10" s="89" t="str">
        <f>'Summary Data Part C'!$I$1</f>
        <v>Charlton Heights</v>
      </c>
      <c r="C10" s="272"/>
      <c r="D10" s="273" t="s">
        <v>1817</v>
      </c>
      <c r="E10" s="274" t="s">
        <v>1818</v>
      </c>
      <c r="F10" s="274">
        <v>5</v>
      </c>
      <c r="G10" s="274" t="s">
        <v>1819</v>
      </c>
      <c r="H10" s="274"/>
      <c r="I10" s="274" t="s">
        <v>1820</v>
      </c>
      <c r="J10" s="275"/>
      <c r="K10" s="276">
        <v>429</v>
      </c>
      <c r="L10" s="276">
        <v>0</v>
      </c>
      <c r="M10" s="276">
        <v>0</v>
      </c>
      <c r="N10" s="276">
        <v>52</v>
      </c>
      <c r="O10" s="276">
        <v>0</v>
      </c>
      <c r="P10" s="276">
        <v>62</v>
      </c>
      <c r="Q10" s="277"/>
      <c r="R10" s="277">
        <v>36.5</v>
      </c>
      <c r="S10" s="277">
        <v>14</v>
      </c>
      <c r="T10" s="277">
        <v>1</v>
      </c>
      <c r="U10" s="277">
        <v>3.2</v>
      </c>
      <c r="V10" s="277">
        <f>2.5+2.1</f>
        <v>4.5999999999999996</v>
      </c>
      <c r="W10" s="43">
        <f t="shared" si="0"/>
        <v>59.300000000000004</v>
      </c>
    </row>
    <row r="11" spans="1:23" s="42" customFormat="1" ht="15" x14ac:dyDescent="0.3">
      <c r="A11" s="278" t="s">
        <v>1813</v>
      </c>
      <c r="B11" s="89" t="str">
        <f>'Summary Data Part C'!$J$1</f>
        <v>Pashley</v>
      </c>
      <c r="C11" s="272"/>
      <c r="D11" s="273" t="s">
        <v>1817</v>
      </c>
      <c r="E11" s="274" t="s">
        <v>1818</v>
      </c>
      <c r="F11" s="274">
        <v>5</v>
      </c>
      <c r="G11" s="274" t="s">
        <v>1819</v>
      </c>
      <c r="H11" s="274"/>
      <c r="I11" s="274" t="s">
        <v>1820</v>
      </c>
      <c r="J11" s="275"/>
      <c r="K11" s="276">
        <v>449</v>
      </c>
      <c r="L11" s="276">
        <v>0</v>
      </c>
      <c r="M11" s="276">
        <v>0</v>
      </c>
      <c r="N11" s="276">
        <v>72</v>
      </c>
      <c r="O11" s="276">
        <v>3</v>
      </c>
      <c r="P11" s="276">
        <v>75</v>
      </c>
      <c r="Q11" s="277"/>
      <c r="R11" s="277">
        <v>38.75</v>
      </c>
      <c r="S11" s="277">
        <f>1+15</f>
        <v>16</v>
      </c>
      <c r="T11" s="277">
        <v>1</v>
      </c>
      <c r="U11" s="277">
        <v>3.2</v>
      </c>
      <c r="V11" s="277">
        <f>2.5+2.3</f>
        <v>4.8</v>
      </c>
      <c r="W11" s="43">
        <f t="shared" si="0"/>
        <v>63.75</v>
      </c>
    </row>
    <row r="12" spans="1:23" s="42" customFormat="1" ht="15" x14ac:dyDescent="0.3">
      <c r="A12" s="278" t="s">
        <v>1814</v>
      </c>
      <c r="B12" s="89" t="str">
        <f>'Summary Data Part C'!$K$1</f>
        <v>Stevens</v>
      </c>
      <c r="C12" s="272"/>
      <c r="D12" s="273" t="s">
        <v>1817</v>
      </c>
      <c r="E12" s="274" t="s">
        <v>1818</v>
      </c>
      <c r="F12" s="274">
        <v>5</v>
      </c>
      <c r="G12" s="274" t="s">
        <v>1819</v>
      </c>
      <c r="H12" s="274"/>
      <c r="I12" s="274" t="s">
        <v>1820</v>
      </c>
      <c r="J12" s="275"/>
      <c r="K12" s="276">
        <v>478</v>
      </c>
      <c r="L12" s="276">
        <v>0</v>
      </c>
      <c r="M12" s="276">
        <v>0</v>
      </c>
      <c r="N12" s="276">
        <v>81</v>
      </c>
      <c r="O12" s="276">
        <v>4</v>
      </c>
      <c r="P12" s="276">
        <v>68</v>
      </c>
      <c r="Q12" s="277"/>
      <c r="R12" s="277">
        <v>40.299999999999997</v>
      </c>
      <c r="S12" s="277">
        <f>1+15</f>
        <v>16</v>
      </c>
      <c r="T12" s="277">
        <v>1</v>
      </c>
      <c r="U12" s="277">
        <v>4.2</v>
      </c>
      <c r="V12" s="277">
        <f>2.5+2.6</f>
        <v>5.0999999999999996</v>
      </c>
      <c r="W12" s="43">
        <f t="shared" si="0"/>
        <v>66.599999999999994</v>
      </c>
    </row>
    <row r="13" spans="1:23" s="42" customFormat="1" ht="15" x14ac:dyDescent="0.3">
      <c r="A13" s="278"/>
      <c r="B13" s="89" t="str">
        <f>'Summary Data Part C'!$L$1</f>
        <v>School #6</v>
      </c>
      <c r="C13" s="272"/>
      <c r="D13" s="273"/>
      <c r="E13" s="274"/>
      <c r="F13" s="274"/>
      <c r="G13" s="274"/>
      <c r="H13" s="274"/>
      <c r="I13" s="274"/>
      <c r="J13" s="275"/>
      <c r="K13" s="276"/>
      <c r="L13" s="276"/>
      <c r="M13" s="276"/>
      <c r="N13" s="276"/>
      <c r="O13" s="276"/>
      <c r="P13" s="276"/>
      <c r="Q13" s="277"/>
      <c r="R13" s="277"/>
      <c r="S13" s="277"/>
      <c r="T13" s="277"/>
      <c r="U13" s="277"/>
      <c r="V13" s="277"/>
      <c r="W13" s="43">
        <f t="shared" si="0"/>
        <v>0</v>
      </c>
    </row>
    <row r="14" spans="1:23" s="42" customFormat="1" ht="15" x14ac:dyDescent="0.3">
      <c r="A14" s="278"/>
      <c r="B14" s="89" t="str">
        <f>'Summary Data Part C'!$M$1</f>
        <v>School #7</v>
      </c>
      <c r="C14" s="272"/>
      <c r="D14" s="273"/>
      <c r="E14" s="274"/>
      <c r="F14" s="274"/>
      <c r="G14" s="274"/>
      <c r="H14" s="274"/>
      <c r="I14" s="274"/>
      <c r="J14" s="275"/>
      <c r="K14" s="276"/>
      <c r="L14" s="276"/>
      <c r="M14" s="276"/>
      <c r="N14" s="276"/>
      <c r="O14" s="276"/>
      <c r="P14" s="276"/>
      <c r="Q14" s="277"/>
      <c r="R14" s="277"/>
      <c r="S14" s="277"/>
      <c r="T14" s="277"/>
      <c r="U14" s="277"/>
      <c r="V14" s="277"/>
      <c r="W14" s="43">
        <f t="shared" si="0"/>
        <v>0</v>
      </c>
    </row>
    <row r="15" spans="1:23" s="42" customFormat="1" ht="15" x14ac:dyDescent="0.3">
      <c r="A15" s="278"/>
      <c r="B15" s="89" t="str">
        <f>'Summary Data Part C'!$N$1</f>
        <v>School #8</v>
      </c>
      <c r="C15" s="272"/>
      <c r="D15" s="273"/>
      <c r="E15" s="274"/>
      <c r="F15" s="274"/>
      <c r="G15" s="274"/>
      <c r="H15" s="274"/>
      <c r="I15" s="274"/>
      <c r="J15" s="275"/>
      <c r="K15" s="276"/>
      <c r="L15" s="276"/>
      <c r="M15" s="276"/>
      <c r="N15" s="276"/>
      <c r="O15" s="276"/>
      <c r="P15" s="276"/>
      <c r="Q15" s="277"/>
      <c r="R15" s="277"/>
      <c r="S15" s="277"/>
      <c r="T15" s="277"/>
      <c r="U15" s="277"/>
      <c r="V15" s="277"/>
      <c r="W15" s="43">
        <f t="shared" si="0"/>
        <v>0</v>
      </c>
    </row>
    <row r="16" spans="1:23" s="42" customFormat="1" ht="15" x14ac:dyDescent="0.3">
      <c r="A16" s="278"/>
      <c r="B16" s="89" t="str">
        <f>'Summary Data Part C'!$O$1</f>
        <v>School #9</v>
      </c>
      <c r="C16" s="272"/>
      <c r="D16" s="273"/>
      <c r="E16" s="274"/>
      <c r="F16" s="274"/>
      <c r="G16" s="274"/>
      <c r="H16" s="274"/>
      <c r="I16" s="274"/>
      <c r="J16" s="275"/>
      <c r="K16" s="276"/>
      <c r="L16" s="276"/>
      <c r="M16" s="276"/>
      <c r="N16" s="276"/>
      <c r="O16" s="276"/>
      <c r="P16" s="276"/>
      <c r="Q16" s="277"/>
      <c r="R16" s="277"/>
      <c r="S16" s="277"/>
      <c r="T16" s="277"/>
      <c r="U16" s="277"/>
      <c r="V16" s="277"/>
      <c r="W16" s="43">
        <f t="shared" si="0"/>
        <v>0</v>
      </c>
    </row>
    <row r="17" spans="1:23" s="42" customFormat="1" ht="15" x14ac:dyDescent="0.3">
      <c r="A17" s="278"/>
      <c r="B17" s="89" t="str">
        <f>'Summary Data Part C'!$P$1</f>
        <v>School #10</v>
      </c>
      <c r="C17" s="272"/>
      <c r="D17" s="273"/>
      <c r="E17" s="274"/>
      <c r="F17" s="274"/>
      <c r="G17" s="274"/>
      <c r="H17" s="274"/>
      <c r="I17" s="274"/>
      <c r="J17" s="275"/>
      <c r="K17" s="276"/>
      <c r="L17" s="276"/>
      <c r="M17" s="276"/>
      <c r="N17" s="276"/>
      <c r="O17" s="276"/>
      <c r="P17" s="276"/>
      <c r="Q17" s="277"/>
      <c r="R17" s="277"/>
      <c r="S17" s="277"/>
      <c r="T17" s="277"/>
      <c r="U17" s="277"/>
      <c r="V17" s="277"/>
      <c r="W17" s="43">
        <f t="shared" si="0"/>
        <v>0</v>
      </c>
    </row>
    <row r="18" spans="1:23" s="42" customFormat="1" ht="15" x14ac:dyDescent="0.3">
      <c r="A18" s="278"/>
      <c r="B18" s="89" t="str">
        <f>'Summary Data Part C'!$Q$1</f>
        <v>School #11</v>
      </c>
      <c r="C18" s="272"/>
      <c r="D18" s="273"/>
      <c r="E18" s="274"/>
      <c r="F18" s="274"/>
      <c r="G18" s="274"/>
      <c r="H18" s="274"/>
      <c r="I18" s="274"/>
      <c r="J18" s="275"/>
      <c r="K18" s="276"/>
      <c r="L18" s="276"/>
      <c r="M18" s="276"/>
      <c r="N18" s="276"/>
      <c r="O18" s="276"/>
      <c r="P18" s="276"/>
      <c r="Q18" s="277"/>
      <c r="R18" s="277"/>
      <c r="S18" s="277"/>
      <c r="T18" s="277"/>
      <c r="U18" s="277"/>
      <c r="V18" s="277"/>
      <c r="W18" s="43">
        <f t="shared" si="0"/>
        <v>0</v>
      </c>
    </row>
    <row r="19" spans="1:23" s="42" customFormat="1" ht="15" x14ac:dyDescent="0.3">
      <c r="A19" s="278"/>
      <c r="B19" s="89" t="str">
        <f>'Summary Data Part C'!$R$1</f>
        <v>School #12</v>
      </c>
      <c r="C19" s="272"/>
      <c r="D19" s="273"/>
      <c r="E19" s="274"/>
      <c r="F19" s="274"/>
      <c r="G19" s="274"/>
      <c r="H19" s="274"/>
      <c r="I19" s="274"/>
      <c r="J19" s="275"/>
      <c r="K19" s="276"/>
      <c r="L19" s="276"/>
      <c r="M19" s="276"/>
      <c r="N19" s="276"/>
      <c r="O19" s="276"/>
      <c r="P19" s="276"/>
      <c r="Q19" s="277"/>
      <c r="R19" s="277"/>
      <c r="S19" s="277"/>
      <c r="T19" s="277"/>
      <c r="U19" s="277"/>
      <c r="V19" s="277"/>
      <c r="W19" s="43">
        <f t="shared" si="0"/>
        <v>0</v>
      </c>
    </row>
    <row r="20" spans="1:23" s="42" customFormat="1" ht="15" x14ac:dyDescent="0.3">
      <c r="A20" s="278"/>
      <c r="B20" s="89" t="str">
        <f>'Summary Data Part C'!$S$1</f>
        <v>School #13</v>
      </c>
      <c r="C20" s="272"/>
      <c r="D20" s="273"/>
      <c r="E20" s="274"/>
      <c r="F20" s="274"/>
      <c r="G20" s="274"/>
      <c r="H20" s="274"/>
      <c r="I20" s="274"/>
      <c r="J20" s="275"/>
      <c r="K20" s="276"/>
      <c r="L20" s="276"/>
      <c r="M20" s="276"/>
      <c r="N20" s="276"/>
      <c r="O20" s="276"/>
      <c r="P20" s="276"/>
      <c r="Q20" s="277"/>
      <c r="R20" s="277"/>
      <c r="S20" s="277"/>
      <c r="T20" s="277"/>
      <c r="U20" s="277"/>
      <c r="V20" s="277"/>
      <c r="W20" s="43">
        <f t="shared" si="0"/>
        <v>0</v>
      </c>
    </row>
    <row r="21" spans="1:23" s="42" customFormat="1" ht="15" x14ac:dyDescent="0.3">
      <c r="A21" s="278"/>
      <c r="B21" s="89" t="str">
        <f>'Summary Data Part C'!$T$1</f>
        <v>School #14</v>
      </c>
      <c r="C21" s="272"/>
      <c r="D21" s="273"/>
      <c r="E21" s="274"/>
      <c r="F21" s="274"/>
      <c r="G21" s="274"/>
      <c r="H21" s="274"/>
      <c r="I21" s="274"/>
      <c r="J21" s="275"/>
      <c r="K21" s="276"/>
      <c r="L21" s="276"/>
      <c r="M21" s="276"/>
      <c r="N21" s="276"/>
      <c r="O21" s="276"/>
      <c r="P21" s="276"/>
      <c r="Q21" s="277"/>
      <c r="R21" s="277"/>
      <c r="S21" s="277"/>
      <c r="T21" s="277"/>
      <c r="U21" s="277"/>
      <c r="V21" s="277"/>
      <c r="W21" s="43">
        <f t="shared" si="0"/>
        <v>0</v>
      </c>
    </row>
    <row r="22" spans="1:23" s="42" customFormat="1" ht="15" x14ac:dyDescent="0.3">
      <c r="A22" s="278"/>
      <c r="B22" s="89" t="str">
        <f>'Summary Data Part C'!$U$1</f>
        <v>School #15</v>
      </c>
      <c r="C22" s="272"/>
      <c r="D22" s="273"/>
      <c r="E22" s="274"/>
      <c r="F22" s="274"/>
      <c r="G22" s="274"/>
      <c r="H22" s="274"/>
      <c r="I22" s="274"/>
      <c r="J22" s="275"/>
      <c r="K22" s="276"/>
      <c r="L22" s="276"/>
      <c r="M22" s="276"/>
      <c r="N22" s="276"/>
      <c r="O22" s="276"/>
      <c r="P22" s="276"/>
      <c r="Q22" s="277"/>
      <c r="R22" s="277"/>
      <c r="S22" s="277"/>
      <c r="T22" s="277"/>
      <c r="U22" s="277"/>
      <c r="V22" s="277"/>
      <c r="W22" s="43">
        <f t="shared" si="0"/>
        <v>0</v>
      </c>
    </row>
    <row r="23" spans="1:23" s="42" customFormat="1" ht="15" x14ac:dyDescent="0.3">
      <c r="A23" s="278"/>
      <c r="B23" s="89" t="str">
        <f>'Summary Data Part C'!$V$1</f>
        <v>School #16</v>
      </c>
      <c r="C23" s="272"/>
      <c r="D23" s="273"/>
      <c r="E23" s="274"/>
      <c r="F23" s="274"/>
      <c r="G23" s="274"/>
      <c r="H23" s="274"/>
      <c r="I23" s="274"/>
      <c r="J23" s="275"/>
      <c r="K23" s="276"/>
      <c r="L23" s="276"/>
      <c r="M23" s="276"/>
      <c r="N23" s="276"/>
      <c r="O23" s="276"/>
      <c r="P23" s="276"/>
      <c r="Q23" s="277"/>
      <c r="R23" s="277"/>
      <c r="S23" s="277"/>
      <c r="T23" s="277"/>
      <c r="U23" s="277"/>
      <c r="V23" s="277"/>
      <c r="W23" s="43">
        <f t="shared" si="0"/>
        <v>0</v>
      </c>
    </row>
    <row r="24" spans="1:23" s="42" customFormat="1" ht="15" x14ac:dyDescent="0.3">
      <c r="A24" s="278"/>
      <c r="B24" s="89" t="str">
        <f>'Summary Data Part C'!$W$1</f>
        <v>School #17</v>
      </c>
      <c r="C24" s="272"/>
      <c r="D24" s="273"/>
      <c r="E24" s="274"/>
      <c r="F24" s="274"/>
      <c r="G24" s="274"/>
      <c r="H24" s="274"/>
      <c r="I24" s="274"/>
      <c r="J24" s="275"/>
      <c r="K24" s="276"/>
      <c r="L24" s="276"/>
      <c r="M24" s="276"/>
      <c r="N24" s="276"/>
      <c r="O24" s="276"/>
      <c r="P24" s="276"/>
      <c r="Q24" s="277"/>
      <c r="R24" s="277"/>
      <c r="S24" s="277"/>
      <c r="T24" s="277"/>
      <c r="U24" s="277"/>
      <c r="V24" s="277"/>
      <c r="W24" s="43">
        <f t="shared" si="0"/>
        <v>0</v>
      </c>
    </row>
    <row r="25" spans="1:23" s="42" customFormat="1" x14ac:dyDescent="0.3">
      <c r="A25" s="33" t="s">
        <v>154</v>
      </c>
      <c r="B25" s="32"/>
      <c r="C25" s="32"/>
      <c r="D25" s="31"/>
      <c r="E25" s="44"/>
      <c r="F25" s="44"/>
      <c r="G25" s="32"/>
      <c r="H25" s="32"/>
      <c r="I25" s="32"/>
      <c r="J25" s="32"/>
      <c r="K25" s="37">
        <f>SUM(K8:K24)</f>
        <v>3075</v>
      </c>
      <c r="L25" s="37">
        <f t="shared" ref="L25:W25" si="1">SUM(L8:L24)</f>
        <v>0</v>
      </c>
      <c r="M25" s="37">
        <f t="shared" si="1"/>
        <v>0</v>
      </c>
      <c r="N25" s="37">
        <f t="shared" si="1"/>
        <v>525</v>
      </c>
      <c r="O25" s="37">
        <f t="shared" si="1"/>
        <v>8</v>
      </c>
      <c r="P25" s="37">
        <f t="shared" si="1"/>
        <v>460</v>
      </c>
      <c r="Q25" s="45">
        <f t="shared" si="1"/>
        <v>0</v>
      </c>
      <c r="R25" s="45">
        <f t="shared" si="1"/>
        <v>270</v>
      </c>
      <c r="S25" s="45">
        <f t="shared" si="1"/>
        <v>89</v>
      </c>
      <c r="T25" s="45">
        <f t="shared" si="1"/>
        <v>8</v>
      </c>
      <c r="U25" s="45">
        <f t="shared" si="1"/>
        <v>30.999999999999996</v>
      </c>
      <c r="V25" s="45">
        <f t="shared" si="1"/>
        <v>33</v>
      </c>
      <c r="W25" s="45">
        <f t="shared" si="1"/>
        <v>431</v>
      </c>
    </row>
    <row r="27" spans="1:23" ht="17.25" thickBot="1" x14ac:dyDescent="0.35">
      <c r="J27" s="32" t="s">
        <v>391</v>
      </c>
      <c r="K27" s="32" t="s">
        <v>427</v>
      </c>
    </row>
    <row r="28" spans="1:23" ht="17.25" thickBot="1" x14ac:dyDescent="0.35">
      <c r="J28" s="32" t="s">
        <v>392</v>
      </c>
      <c r="K28" s="93">
        <f>'Summary Data Part A'!F58</f>
        <v>3075</v>
      </c>
      <c r="L28" s="92" t="s">
        <v>393</v>
      </c>
    </row>
  </sheetData>
  <sheetProtection algorithmName="SHA-512" hashValue="xigdrTtKKvyFI1U16kYsVtDzLOeBM/YRzo/jcl14A+rg5Kbxagh0SD+6vK8slgFi01ut3rsfBl1Uj5hNL/eGjw==" saltValue="e734agaCUpoqcdGqnFv/XQ==" spinCount="100000" sheet="1" objects="1" scenarios="1"/>
  <mergeCells count="4">
    <mergeCell ref="E6:F6"/>
    <mergeCell ref="G6:J6"/>
    <mergeCell ref="K6:P6"/>
    <mergeCell ref="Q6:W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24" xr:uid="{86C278FB-E2DB-481B-ACB0-B627A6D6FB48}">
      <formula1>12</formula1>
    </dataValidation>
  </dataValidations>
  <pageMargins left="0.25" right="0.25" top="0.75" bottom="0.75" header="0.3" footer="0.3"/>
  <pageSetup paperSize="3" scale="5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6254-3C9F-4866-A1BA-505B455DD06D}">
  <sheetPr>
    <tabColor rgb="FF00B0F0"/>
    <pageSetUpPr fitToPage="1"/>
  </sheetPr>
  <dimension ref="A1:Y29"/>
  <sheetViews>
    <sheetView topLeftCell="N1" workbookViewId="0">
      <selection activeCell="S1" sqref="S1"/>
    </sheetView>
  </sheetViews>
  <sheetFormatPr defaultColWidth="9.140625" defaultRowHeight="16.5" x14ac:dyDescent="0.3"/>
  <cols>
    <col min="1" max="1" width="15.140625" style="32" customWidth="1"/>
    <col min="2" max="2" width="42" style="32" customWidth="1"/>
    <col min="3" max="3" width="17.7109375" style="32" customWidth="1"/>
    <col min="4" max="4" width="15.85546875" style="32" bestFit="1" customWidth="1"/>
    <col min="5" max="13" width="13.7109375" style="32" customWidth="1"/>
    <col min="14" max="14" width="14.5703125" style="32" customWidth="1"/>
    <col min="15" max="17" width="13.7109375" style="32" customWidth="1"/>
    <col min="18" max="22" width="17" style="32" customWidth="1"/>
    <col min="23" max="24" width="17" style="77" customWidth="1"/>
    <col min="25" max="25" width="17" style="32" customWidth="1"/>
    <col min="26" max="16384" width="9.140625" style="32"/>
  </cols>
  <sheetData>
    <row r="1" spans="1:25" customFormat="1" ht="18" x14ac:dyDescent="0.35">
      <c r="A1" s="30" t="s">
        <v>155</v>
      </c>
      <c r="W1" s="29"/>
      <c r="X1" s="29"/>
    </row>
    <row r="2" spans="1:25" s="31" customFormat="1" ht="15" customHeight="1" x14ac:dyDescent="0.3">
      <c r="A2" s="46"/>
      <c r="W2" s="94"/>
      <c r="X2" s="94"/>
    </row>
    <row r="3" spans="1:25" s="31" customFormat="1" ht="15" customHeight="1" x14ac:dyDescent="0.3">
      <c r="A3" s="47" t="s">
        <v>156</v>
      </c>
      <c r="B3" s="48"/>
      <c r="C3" s="49"/>
      <c r="W3" s="94"/>
      <c r="X3" s="94"/>
    </row>
    <row r="4" spans="1:25" s="31" customFormat="1" ht="15" customHeight="1" x14ac:dyDescent="0.3">
      <c r="W4" s="94"/>
      <c r="X4" s="94"/>
    </row>
    <row r="5" spans="1:25" s="31" customFormat="1" ht="15.75" customHeight="1" x14ac:dyDescent="0.3">
      <c r="D5" s="372" t="s">
        <v>157</v>
      </c>
      <c r="E5" s="373"/>
      <c r="F5" s="373"/>
      <c r="G5" s="373"/>
      <c r="H5" s="373"/>
      <c r="I5" s="374"/>
      <c r="J5" s="375" t="s">
        <v>158</v>
      </c>
      <c r="K5" s="376"/>
      <c r="L5" s="376"/>
      <c r="M5" s="376"/>
      <c r="N5" s="376"/>
      <c r="O5" s="376"/>
      <c r="P5" s="376"/>
      <c r="Q5" s="377"/>
      <c r="R5" s="378" t="s">
        <v>159</v>
      </c>
      <c r="S5" s="379"/>
      <c r="T5" s="380"/>
      <c r="U5" s="369" t="s">
        <v>160</v>
      </c>
      <c r="V5" s="370"/>
      <c r="W5" s="95"/>
      <c r="X5" s="95"/>
      <c r="Y5" s="34"/>
    </row>
    <row r="6" spans="1:25" s="33" customFormat="1" ht="15" customHeight="1" x14ac:dyDescent="0.3">
      <c r="D6" s="381" t="s">
        <v>161</v>
      </c>
      <c r="E6" s="382"/>
      <c r="F6" s="383"/>
      <c r="G6" s="50"/>
      <c r="H6" s="51"/>
      <c r="I6" s="39"/>
      <c r="J6" s="369" t="s">
        <v>162</v>
      </c>
      <c r="K6" s="370"/>
      <c r="L6" s="369" t="s">
        <v>163</v>
      </c>
      <c r="M6" s="370"/>
      <c r="N6" s="369" t="s">
        <v>164</v>
      </c>
      <c r="O6" s="371"/>
      <c r="P6" s="370"/>
      <c r="Q6" s="38"/>
      <c r="R6" s="35"/>
      <c r="S6" s="35"/>
      <c r="T6" s="35"/>
      <c r="U6" s="52"/>
      <c r="V6" s="52"/>
      <c r="W6" s="96"/>
      <c r="X6" s="96"/>
      <c r="Y6" s="52"/>
    </row>
    <row r="7" spans="1:25" s="42" customFormat="1" ht="60" x14ac:dyDescent="0.3">
      <c r="A7" s="39" t="s">
        <v>47</v>
      </c>
      <c r="B7" s="39" t="s">
        <v>133</v>
      </c>
      <c r="C7" s="39" t="s">
        <v>134</v>
      </c>
      <c r="D7" s="39" t="s">
        <v>165</v>
      </c>
      <c r="E7" s="40" t="s">
        <v>166</v>
      </c>
      <c r="F7" s="40" t="s">
        <v>167</v>
      </c>
      <c r="G7" s="53" t="s">
        <v>3</v>
      </c>
      <c r="H7" s="54" t="s">
        <v>168</v>
      </c>
      <c r="I7" s="53" t="s">
        <v>169</v>
      </c>
      <c r="J7" s="53" t="s">
        <v>170</v>
      </c>
      <c r="K7" s="54" t="s">
        <v>171</v>
      </c>
      <c r="L7" s="53" t="s">
        <v>172</v>
      </c>
      <c r="M7" s="54" t="s">
        <v>173</v>
      </c>
      <c r="N7" s="53" t="s">
        <v>174</v>
      </c>
      <c r="O7" s="54" t="s">
        <v>175</v>
      </c>
      <c r="P7" s="54" t="s">
        <v>176</v>
      </c>
      <c r="Q7" s="53" t="s">
        <v>177</v>
      </c>
      <c r="R7" s="53" t="s">
        <v>178</v>
      </c>
      <c r="S7" s="53" t="s">
        <v>179</v>
      </c>
      <c r="T7" s="55" t="s">
        <v>180</v>
      </c>
      <c r="U7" s="56" t="s">
        <v>181</v>
      </c>
      <c r="V7" s="56" t="s">
        <v>182</v>
      </c>
      <c r="W7" s="97" t="s">
        <v>183</v>
      </c>
      <c r="X7" s="97" t="s">
        <v>184</v>
      </c>
      <c r="Y7" s="56" t="s">
        <v>185</v>
      </c>
    </row>
    <row r="8" spans="1:25" s="42" customFormat="1" ht="15" customHeight="1" x14ac:dyDescent="0.3">
      <c r="A8" s="279" t="str">
        <f>' Part B Format'!A8</f>
        <v>520101060006</v>
      </c>
      <c r="B8" s="89" t="str">
        <f>'Summary Data Part C'!$G$1</f>
        <v>High School</v>
      </c>
      <c r="C8" s="279">
        <f>' Part B Format'!C8</f>
        <v>0</v>
      </c>
      <c r="D8" s="57">
        <f>'Summary Data Part C'!$G3</f>
        <v>7890363.9643333498</v>
      </c>
      <c r="E8" s="57">
        <f>'Summary Data Part C'!$G4</f>
        <v>2224445.0520287957</v>
      </c>
      <c r="F8" s="57">
        <f>'Summary Data Part C'!$G5</f>
        <v>4078633.5086898445</v>
      </c>
      <c r="G8" s="57">
        <f>'Summary Data Part C'!$G6</f>
        <v>115579.44862565445</v>
      </c>
      <c r="H8" s="57">
        <f>'Summary Data Part C'!$G7</f>
        <v>1306479.0180402186</v>
      </c>
      <c r="I8" s="57">
        <f>SUM(D8:H8)</f>
        <v>15615500.991717864</v>
      </c>
      <c r="J8" s="57">
        <f>'Summary Data Part C'!G$12+'Summary Data Part C'!G$13+'Summary Data Part C'!G$14</f>
        <v>10011902.276640305</v>
      </c>
      <c r="K8" s="57">
        <f>+'Summary Data Part C'!$G$15+'Summary Data Part C'!$G$16+'Summary Data Part C'!$G$17</f>
        <v>0</v>
      </c>
      <c r="L8" s="57">
        <f>'Summary Data Part C'!$G$18+'Summary Data Part C'!$G$19+'Summary Data Part C'!$G$20</f>
        <v>2335484.5703503825</v>
      </c>
      <c r="M8" s="57">
        <f>'Summary Data Part C'!$G$21+'Summary Data Part C'!$G$22+'Summary Data Part C'!$G$23</f>
        <v>0</v>
      </c>
      <c r="N8" s="57">
        <f>'Summary Data Part C'!$G$24+'Summary Data Part C'!$G$25+'Summary Data Part C'!$G$26</f>
        <v>1203924.0564769078</v>
      </c>
      <c r="O8" s="57">
        <f>+'Summary Data Part C'!$G$27+'Summary Data Part C'!$G$28+'Summary Data Part C'!$G$29</f>
        <v>321434.06339701085</v>
      </c>
      <c r="P8" s="57">
        <f>+'Summary Data Part C'!$G$31+'Summary Data Part C'!$G$32+'Summary Data Part C'!$G$30</f>
        <v>1742756.0248532556</v>
      </c>
      <c r="Q8" s="57">
        <f>SUM(J8:P8)</f>
        <v>15615500.991717862</v>
      </c>
      <c r="R8" s="57">
        <f>'Summary Data Part C'!$G$38+'Summary Data Part C'!$G$39+'Summary Data Part C'!$G$40</f>
        <v>15271883.919791326</v>
      </c>
      <c r="S8" s="57">
        <f>+'Summary Data Part C'!$G$41+'Summary Data Part C'!$G$42+'Summary Data Part C'!$G$43</f>
        <v>343617.0719265446</v>
      </c>
      <c r="T8" s="57">
        <f>SUM(R8:S8)</f>
        <v>15615500.991717871</v>
      </c>
      <c r="U8" s="57">
        <f>R8/(' Part B Format'!K8+' Part B Format'!L8)</f>
        <v>15195.904397802315</v>
      </c>
      <c r="V8" s="57">
        <f>S8/(' Part B Format'!K8+' Part B Format'!L8)</f>
        <v>341.90753425526827</v>
      </c>
      <c r="W8" s="98">
        <f>'Part A Format'!$C$86*(' Part B Format'!K8+' Part B Format'!L8)</f>
        <v>4063466.7271707319</v>
      </c>
      <c r="X8" s="99">
        <f>W8+T8</f>
        <v>19678967.718888603</v>
      </c>
      <c r="Y8" s="58">
        <f>X8/(' Part B Format'!K8+' Part B Format'!L8)</f>
        <v>19581.062406854333</v>
      </c>
    </row>
    <row r="9" spans="1:25" s="42" customFormat="1" ht="15" x14ac:dyDescent="0.3">
      <c r="A9" s="279" t="str">
        <f>' Part B Format'!A9</f>
        <v>521010106005</v>
      </c>
      <c r="B9" s="89" t="str">
        <f>'Summary Data Part C'!$H$1</f>
        <v>Middle School</v>
      </c>
      <c r="C9" s="279">
        <f>' Part B Format'!C9</f>
        <v>0</v>
      </c>
      <c r="D9" s="57">
        <f>'Summary Data Part C'!$H3</f>
        <v>6063619.0676599331</v>
      </c>
      <c r="E9" s="57">
        <f>'Summary Data Part C'!$H4</f>
        <v>1089000.2133507854</v>
      </c>
      <c r="F9" s="57">
        <f>'Summary Data Part C'!$H5</f>
        <v>2884178.3000786309</v>
      </c>
      <c r="G9" s="57">
        <f>'Summary Data Part C'!$H6</f>
        <v>84480.226439790567</v>
      </c>
      <c r="H9" s="57">
        <f>'Summary Data Part C'!$H7</f>
        <v>375587.81531349628</v>
      </c>
      <c r="I9" s="57">
        <f t="shared" ref="I9:I24" si="0">SUM(D9:H9)</f>
        <v>10496865.622842636</v>
      </c>
      <c r="J9" s="57">
        <f>'Summary Data Part C'!H$12+'Summary Data Part C'!H$13+'Summary Data Part C'!H$14</f>
        <v>6381749.0451639369</v>
      </c>
      <c r="K9" s="57">
        <f>+'Summary Data Part C'!$H$15+'Summary Data Part C'!$H$16+'Summary Data Part C'!$H$17</f>
        <v>0</v>
      </c>
      <c r="L9" s="57">
        <f>'Summary Data Part C'!$H$18+'Summary Data Part C'!$H$19+'Summary Data Part C'!$H$20</f>
        <v>2417120.5785414856</v>
      </c>
      <c r="M9" s="57">
        <f>'Summary Data Part C'!$H$21+'Summary Data Part C'!$H$22+'Summary Data Part C'!$H$23</f>
        <v>0</v>
      </c>
      <c r="N9" s="57">
        <f>'Summary Data Part C'!$H$24+'Summary Data Part C'!$H$25+'Summary Data Part C'!$H$26</f>
        <v>576482.78493134852</v>
      </c>
      <c r="O9" s="57">
        <f>+'Summary Data Part C'!$H$27+'Summary Data Part C'!$H$28+'Summary Data Part C'!$H$29</f>
        <v>273274.17003732093</v>
      </c>
      <c r="P9" s="57">
        <f>+'Summary Data Part C'!$H$31+'Summary Data Part C'!$H$32+'Summary Data Part C'!$H$30</f>
        <v>848239.04416854377</v>
      </c>
      <c r="Q9" s="57">
        <f t="shared" ref="Q9:Q24" si="1">SUM(J9:P9)</f>
        <v>10496865.622842636</v>
      </c>
      <c r="R9" s="57">
        <f>'Summary Data Part C'!$H$38+'Summary Data Part C'!$H$39+'Summary Data Part C'!$H$40</f>
        <v>10300713.30034221</v>
      </c>
      <c r="S9" s="57">
        <f>+'Summary Data Part C'!$H$41+'Summary Data Part C'!$H$42+'Summary Data Part C'!$H$43</f>
        <v>196152.32250042973</v>
      </c>
      <c r="T9" s="57">
        <f t="shared" ref="T9:T24" si="2">SUM(R9:S9)</f>
        <v>10496865.62284264</v>
      </c>
      <c r="U9" s="57">
        <f>R9/(' Part B Format'!K9+' Part B Format'!L9)</f>
        <v>14426.769328210377</v>
      </c>
      <c r="V9" s="57">
        <f>S9/(' Part B Format'!K9+' Part B Format'!L9)</f>
        <v>274.7231407569044</v>
      </c>
      <c r="W9" s="98">
        <f>'Part A Format'!$C$86*(' Part B Format'!K9+' Part B Format'!L9)</f>
        <v>2886880.8390048784</v>
      </c>
      <c r="X9" s="99">
        <f t="shared" ref="X9:X24" si="3">W9+T9</f>
        <v>13383746.461847518</v>
      </c>
      <c r="Y9" s="58">
        <f>X9/(' Part B Format'!K9+' Part B Format'!L9)</f>
        <v>18744.742943764031</v>
      </c>
    </row>
    <row r="10" spans="1:25" s="42" customFormat="1" ht="15" x14ac:dyDescent="0.3">
      <c r="A10" s="279" t="str">
        <f>' Part B Format'!A10</f>
        <v>521010106002</v>
      </c>
      <c r="B10" s="89" t="str">
        <f>'Summary Data Part C'!$I$1</f>
        <v>Charlton Heights</v>
      </c>
      <c r="C10" s="279">
        <f>' Part B Format'!C10</f>
        <v>0</v>
      </c>
      <c r="D10" s="57">
        <f>'Summary Data Part C'!$I3</f>
        <v>3508710.0673077744</v>
      </c>
      <c r="E10" s="57">
        <f>'Summary Data Part C'!$I4</f>
        <v>551627.41982984287</v>
      </c>
      <c r="F10" s="57">
        <f>'Summary Data Part C'!$I5</f>
        <v>1637265.5682217856</v>
      </c>
      <c r="G10" s="57">
        <f>'Summary Data Part C'!$I6</f>
        <v>52939.667212041888</v>
      </c>
      <c r="H10" s="57">
        <f>'Summary Data Part C'!$I7</f>
        <v>293612.38821378094</v>
      </c>
      <c r="I10" s="57">
        <f t="shared" si="0"/>
        <v>6044155.1107852254</v>
      </c>
      <c r="J10" s="57">
        <f>'Summary Data Part C'!I$12+'Summary Data Part C'!I$13+'Summary Data Part C'!I$14</f>
        <v>3693510.6768467217</v>
      </c>
      <c r="K10" s="57">
        <f>+'Summary Data Part C'!$I$15+'Summary Data Part C'!$I$16+'Summary Data Part C'!$I$17</f>
        <v>0</v>
      </c>
      <c r="L10" s="57">
        <f>'Summary Data Part C'!$I$18+'Summary Data Part C'!$I$19+'Summary Data Part C'!$I$20</f>
        <v>1482029.875020552</v>
      </c>
      <c r="M10" s="57">
        <f>'Summary Data Part C'!$I$21+'Summary Data Part C'!$I$22+'Summary Data Part C'!$I$23</f>
        <v>0</v>
      </c>
      <c r="N10" s="57">
        <f>'Summary Data Part C'!$I$24+'Summary Data Part C'!$I$25+'Summary Data Part C'!$I$26</f>
        <v>443868.23561816989</v>
      </c>
      <c r="O10" s="57">
        <f>+'Summary Data Part C'!$I$27+'Summary Data Part C'!$I$28+'Summary Data Part C'!$I$29</f>
        <v>207792.05223649309</v>
      </c>
      <c r="P10" s="57">
        <f>+'Summary Data Part C'!$I$31+'Summary Data Part C'!$I$32+'Summary Data Part C'!$I$30</f>
        <v>216954.27106328847</v>
      </c>
      <c r="Q10" s="57">
        <f t="shared" si="1"/>
        <v>6044155.1107852245</v>
      </c>
      <c r="R10" s="57">
        <f>'Summary Data Part C'!$I$38+'Summary Data Part C'!$I$39+'Summary Data Part C'!$I$40</f>
        <v>5918574.5720773712</v>
      </c>
      <c r="S10" s="57">
        <f>+'Summary Data Part C'!$I$41+'Summary Data Part C'!$I$42+'Summary Data Part C'!$I$43</f>
        <v>125580.53870785226</v>
      </c>
      <c r="T10" s="57">
        <f t="shared" si="2"/>
        <v>6044155.1107852235</v>
      </c>
      <c r="U10" s="57">
        <f>R10/(' Part B Format'!K10+' Part B Format'!L10)</f>
        <v>13796.211123723477</v>
      </c>
      <c r="V10" s="57">
        <f>S10/(' Part B Format'!K10+' Part B Format'!L10)</f>
        <v>292.7285284565321</v>
      </c>
      <c r="W10" s="98">
        <f>'Part A Format'!$C$86*(' Part B Format'!K10+' Part B Format'!L10)</f>
        <v>1734554.453687805</v>
      </c>
      <c r="X10" s="99">
        <f t="shared" si="3"/>
        <v>7778709.5644730283</v>
      </c>
      <c r="Y10" s="58">
        <f>X10/(' Part B Format'!K10+' Part B Format'!L10)</f>
        <v>18132.190126976755</v>
      </c>
    </row>
    <row r="11" spans="1:25" s="42" customFormat="1" ht="15" x14ac:dyDescent="0.3">
      <c r="A11" s="279" t="str">
        <f>' Part B Format'!A11</f>
        <v>521010106004</v>
      </c>
      <c r="B11" s="89" t="str">
        <f>'Summary Data Part C'!$J$1</f>
        <v>Pashley</v>
      </c>
      <c r="C11" s="279">
        <f>' Part B Format'!C11</f>
        <v>0</v>
      </c>
      <c r="D11" s="57">
        <f>'Summary Data Part C'!$J3</f>
        <v>3794210.745644819</v>
      </c>
      <c r="E11" s="57">
        <f>'Summary Data Part C'!$J4</f>
        <v>575489.28043193719</v>
      </c>
      <c r="F11" s="57">
        <f>'Summary Data Part C'!$J5</f>
        <v>1762011.0197285253</v>
      </c>
      <c r="G11" s="57">
        <f>'Summary Data Part C'!$J6</f>
        <v>58779.729384816754</v>
      </c>
      <c r="H11" s="57">
        <f>'Summary Data Part C'!$J7</f>
        <v>300878.96433856332</v>
      </c>
      <c r="I11" s="57">
        <f t="shared" si="0"/>
        <v>6491369.7395286625</v>
      </c>
      <c r="J11" s="57">
        <f>'Summary Data Part C'!J$12+'Summary Data Part C'!J$13+'Summary Data Part C'!J$14</f>
        <v>3836068.7553503783</v>
      </c>
      <c r="K11" s="57">
        <f>+'Summary Data Part C'!$J$15+'Summary Data Part C'!$J$16+'Summary Data Part C'!$J$17</f>
        <v>0</v>
      </c>
      <c r="L11" s="57">
        <f>'Summary Data Part C'!$J$18+'Summary Data Part C'!$J$19+'Summary Data Part C'!$J$20</f>
        <v>1761140.0276591675</v>
      </c>
      <c r="M11" s="57">
        <f>'Summary Data Part C'!$J$21+'Summary Data Part C'!$J$22+'Summary Data Part C'!$J$23</f>
        <v>0</v>
      </c>
      <c r="N11" s="57">
        <f>'Summary Data Part C'!$J$24+'Summary Data Part C'!$J$25+'Summary Data Part C'!$J$26</f>
        <v>434966.03415986936</v>
      </c>
      <c r="O11" s="57">
        <f>+'Summary Data Part C'!$J$27+'Summary Data Part C'!$J$28+'Summary Data Part C'!$J$29</f>
        <v>241393.00727842705</v>
      </c>
      <c r="P11" s="57">
        <f>+'Summary Data Part C'!$J$31+'Summary Data Part C'!$J$32+'Summary Data Part C'!$J$30</f>
        <v>217801.91508081945</v>
      </c>
      <c r="Q11" s="57">
        <f t="shared" si="1"/>
        <v>6491369.7395286616</v>
      </c>
      <c r="R11" s="57">
        <f>'Summary Data Part C'!$J$38+'Summary Data Part C'!$J$39+'Summary Data Part C'!$J$40</f>
        <v>6334442.1350631267</v>
      </c>
      <c r="S11" s="57">
        <f>+'Summary Data Part C'!$J$41+'Summary Data Part C'!$J$42+'Summary Data Part C'!$J$43</f>
        <v>156927.60446553532</v>
      </c>
      <c r="T11" s="57">
        <f t="shared" si="2"/>
        <v>6491369.7395286616</v>
      </c>
      <c r="U11" s="57">
        <f>R11/(' Part B Format'!K11+' Part B Format'!L11)</f>
        <v>14107.888942234134</v>
      </c>
      <c r="V11" s="57">
        <f>S11/(' Part B Format'!K11+' Part B Format'!L11)</f>
        <v>349.50468700564659</v>
      </c>
      <c r="W11" s="98">
        <f>'Part A Format'!$C$86*(' Part B Format'!K11+' Part B Format'!L11)</f>
        <v>1815419.4631837399</v>
      </c>
      <c r="X11" s="99">
        <f t="shared" si="3"/>
        <v>8306789.2027124017</v>
      </c>
      <c r="Y11" s="58">
        <f>X11/(' Part B Format'!K11+' Part B Format'!L11)</f>
        <v>18500.644104036528</v>
      </c>
    </row>
    <row r="12" spans="1:25" s="42" customFormat="1" ht="15" x14ac:dyDescent="0.3">
      <c r="A12" s="279" t="str">
        <f>' Part B Format'!A12</f>
        <v>521010106001</v>
      </c>
      <c r="B12" s="89" t="str">
        <f>'Summary Data Part C'!$K$1</f>
        <v>Stevens</v>
      </c>
      <c r="C12" s="279">
        <f>' Part B Format'!C12</f>
        <v>0</v>
      </c>
      <c r="D12" s="57">
        <f>'Summary Data Part C'!$K3</f>
        <v>3757576.5850541238</v>
      </c>
      <c r="E12" s="57">
        <f>'Summary Data Part C'!$K4</f>
        <v>633329.03435863869</v>
      </c>
      <c r="F12" s="57">
        <f>'Summary Data Part C'!$K5</f>
        <v>1770561.8330372071</v>
      </c>
      <c r="G12" s="57">
        <f>'Summary Data Part C'!$K6</f>
        <v>61340.928337696336</v>
      </c>
      <c r="H12" s="57">
        <f>'Summary Data Part C'!$K7</f>
        <v>207989.8140939413</v>
      </c>
      <c r="I12" s="57">
        <f t="shared" si="0"/>
        <v>6430798.1948816059</v>
      </c>
      <c r="J12" s="57">
        <f>'Summary Data Part C'!K$12+'Summary Data Part C'!K$13+'Summary Data Part C'!K$14</f>
        <v>3727203.6691045729</v>
      </c>
      <c r="K12" s="57">
        <f>+'Summary Data Part C'!$K$15+'Summary Data Part C'!$K$16+'Summary Data Part C'!$K$17</f>
        <v>0</v>
      </c>
      <c r="L12" s="57">
        <f>'Summary Data Part C'!$K$18+'Summary Data Part C'!$K$19+'Summary Data Part C'!$K$20</f>
        <v>1802286.0565776851</v>
      </c>
      <c r="M12" s="57">
        <f>'Summary Data Part C'!$K$21+'Summary Data Part C'!$K$22+'Summary Data Part C'!$K$23</f>
        <v>0</v>
      </c>
      <c r="N12" s="57">
        <f>'Summary Data Part C'!$K$24+'Summary Data Part C'!$K$25+'Summary Data Part C'!$K$26</f>
        <v>437785.63769267133</v>
      </c>
      <c r="O12" s="57">
        <f>+'Summary Data Part C'!$K$27+'Summary Data Part C'!$K$28+'Summary Data Part C'!$K$29</f>
        <v>183093.31159883866</v>
      </c>
      <c r="P12" s="57">
        <f>+'Summary Data Part C'!$K$31+'Summary Data Part C'!$K$32+'Summary Data Part C'!$K$30</f>
        <v>280429.51990783971</v>
      </c>
      <c r="Q12" s="57">
        <f t="shared" si="1"/>
        <v>6430798.1948816068</v>
      </c>
      <c r="R12" s="57">
        <f>'Summary Data Part C'!$K$38+'Summary Data Part C'!$K$39+'Summary Data Part C'!$K$40</f>
        <v>6295720.302481967</v>
      </c>
      <c r="S12" s="57">
        <f>+'Summary Data Part C'!$K$41+'Summary Data Part C'!$K$42+'Summary Data Part C'!$K$43</f>
        <v>135077.89239963808</v>
      </c>
      <c r="T12" s="57">
        <f t="shared" si="2"/>
        <v>6430798.194881605</v>
      </c>
      <c r="U12" s="57">
        <f>R12/(' Part B Format'!K12+' Part B Format'!L12)</f>
        <v>13170.962975903696</v>
      </c>
      <c r="V12" s="57">
        <f>S12/(' Part B Format'!K12+' Part B Format'!L12)</f>
        <v>282.58973305363617</v>
      </c>
      <c r="W12" s="98">
        <f>'Part A Format'!$C$86*(' Part B Format'!K12+' Part B Format'!L12)</f>
        <v>1932673.7269528457</v>
      </c>
      <c r="X12" s="99">
        <f t="shared" si="3"/>
        <v>8363471.9218344502</v>
      </c>
      <c r="Y12" s="58">
        <f>X12/(' Part B Format'!K12+' Part B Format'!L12)</f>
        <v>17496.80318375408</v>
      </c>
    </row>
    <row r="13" spans="1:25" s="42" customFormat="1" ht="15" x14ac:dyDescent="0.3">
      <c r="A13" s="279">
        <f>' Part B Format'!A13</f>
        <v>0</v>
      </c>
      <c r="B13" s="89" t="str">
        <f>'Summary Data Part C'!$L$1</f>
        <v>School #6</v>
      </c>
      <c r="C13" s="279">
        <f>' Part B Format'!C13</f>
        <v>0</v>
      </c>
      <c r="D13" s="57">
        <f>'Summary Data Part C'!$L3</f>
        <v>0</v>
      </c>
      <c r="E13" s="57">
        <f>'Summary Data Part C'!$L4</f>
        <v>0</v>
      </c>
      <c r="F13" s="57">
        <f>'Summary Data Part C'!$L5</f>
        <v>0</v>
      </c>
      <c r="G13" s="57">
        <f>'Summary Data Part C'!$L6</f>
        <v>0</v>
      </c>
      <c r="H13" s="57">
        <f>'Summary Data Part C'!$L7</f>
        <v>0</v>
      </c>
      <c r="I13" s="57">
        <f t="shared" si="0"/>
        <v>0</v>
      </c>
      <c r="J13" s="57">
        <f>'Summary Data Part C'!L$12+'Summary Data Part C'!L$13+'Summary Data Part C'!L$14</f>
        <v>0</v>
      </c>
      <c r="K13" s="57">
        <f>+'Summary Data Part C'!$L$15+'Summary Data Part C'!$L$16+'Summary Data Part C'!$L$17</f>
        <v>0</v>
      </c>
      <c r="L13" s="57">
        <f>'Summary Data Part C'!$L$18+'Summary Data Part C'!$L$19+'Summary Data Part C'!$L$20</f>
        <v>0</v>
      </c>
      <c r="M13" s="57">
        <f>'Summary Data Part C'!$L$21+'Summary Data Part C'!$L$22+'Summary Data Part C'!$L$23</f>
        <v>0</v>
      </c>
      <c r="N13" s="57">
        <f>'Summary Data Part C'!$L$24+'Summary Data Part C'!$L$25+'Summary Data Part C'!$L$26</f>
        <v>0</v>
      </c>
      <c r="O13" s="57">
        <f>+'Summary Data Part C'!$L$27+'Summary Data Part C'!$L$28+'Summary Data Part C'!$L$29</f>
        <v>0</v>
      </c>
      <c r="P13" s="57">
        <f>+'Summary Data Part C'!$L$31+'Summary Data Part C'!$L$32+'Summary Data Part C'!$L$30</f>
        <v>0</v>
      </c>
      <c r="Q13" s="57">
        <f t="shared" si="1"/>
        <v>0</v>
      </c>
      <c r="R13" s="57">
        <f>'Summary Data Part C'!$L$38+'Summary Data Part C'!$L$39+'Summary Data Part C'!$L$40</f>
        <v>0</v>
      </c>
      <c r="S13" s="57">
        <f>+'Summary Data Part C'!$L$41+'Summary Data Part C'!$L$42+'Summary Data Part C'!$L$43</f>
        <v>0</v>
      </c>
      <c r="T13" s="57">
        <f t="shared" si="2"/>
        <v>0</v>
      </c>
      <c r="U13" s="57" t="e">
        <f>R13/(' Part B Format'!K13+' Part B Format'!L13)</f>
        <v>#DIV/0!</v>
      </c>
      <c r="V13" s="57" t="e">
        <f>S13/(' Part B Format'!K13+' Part B Format'!L13)</f>
        <v>#DIV/0!</v>
      </c>
      <c r="W13" s="98">
        <f>'Part A Format'!$C$86*(' Part B Format'!K13+' Part B Format'!L13)</f>
        <v>0</v>
      </c>
      <c r="X13" s="99">
        <f t="shared" si="3"/>
        <v>0</v>
      </c>
      <c r="Y13" s="58" t="e">
        <f>X13/(' Part B Format'!K13+' Part B Format'!L13)</f>
        <v>#DIV/0!</v>
      </c>
    </row>
    <row r="14" spans="1:25" s="42" customFormat="1" ht="15" x14ac:dyDescent="0.3">
      <c r="A14" s="279">
        <f>' Part B Format'!A14</f>
        <v>0</v>
      </c>
      <c r="B14" s="89" t="str">
        <f>'Summary Data Part C'!$M$1</f>
        <v>School #7</v>
      </c>
      <c r="C14" s="279">
        <f>' Part B Format'!C14</f>
        <v>0</v>
      </c>
      <c r="D14" s="57">
        <f>'Summary Data Part C'!$M3</f>
        <v>0</v>
      </c>
      <c r="E14" s="57">
        <f>'Summary Data Part C'!$M4</f>
        <v>0</v>
      </c>
      <c r="F14" s="57">
        <f>'Summary Data Part C'!$M5</f>
        <v>0</v>
      </c>
      <c r="G14" s="57">
        <f>'Summary Data Part C'!$M6</f>
        <v>0</v>
      </c>
      <c r="H14" s="57">
        <f>'Summary Data Part C'!$M7</f>
        <v>0</v>
      </c>
      <c r="I14" s="57">
        <f t="shared" si="0"/>
        <v>0</v>
      </c>
      <c r="J14" s="57">
        <f>'Summary Data Part C'!M$12+'Summary Data Part C'!M$13+'Summary Data Part C'!M$14</f>
        <v>0</v>
      </c>
      <c r="K14" s="57">
        <f>+'Summary Data Part C'!$M$15+'Summary Data Part C'!$M$16+'Summary Data Part C'!$M$17</f>
        <v>0</v>
      </c>
      <c r="L14" s="57">
        <f>'Summary Data Part C'!$M$18+'Summary Data Part C'!$M$19+'Summary Data Part C'!$M$20</f>
        <v>0</v>
      </c>
      <c r="M14" s="57">
        <f>'Summary Data Part C'!$M$21+'Summary Data Part C'!$M$22+'Summary Data Part C'!$M$23</f>
        <v>0</v>
      </c>
      <c r="N14" s="57">
        <f>'Summary Data Part C'!$M$24+'Summary Data Part C'!$M$25+'Summary Data Part C'!$M$26</f>
        <v>0</v>
      </c>
      <c r="O14" s="57">
        <f>+'Summary Data Part C'!$M$27+'Summary Data Part C'!$M$28+'Summary Data Part C'!$M$29</f>
        <v>0</v>
      </c>
      <c r="P14" s="57">
        <f>+'Summary Data Part C'!$M$31+'Summary Data Part C'!$M$32+'Summary Data Part C'!$M$30</f>
        <v>0</v>
      </c>
      <c r="Q14" s="57">
        <f t="shared" si="1"/>
        <v>0</v>
      </c>
      <c r="R14" s="57">
        <f>'Summary Data Part C'!$M$38+'Summary Data Part C'!$M$39+'Summary Data Part C'!$M$40</f>
        <v>0</v>
      </c>
      <c r="S14" s="57">
        <f>+'Summary Data Part C'!$M$41+'Summary Data Part C'!$M$42+'Summary Data Part C'!$M$43</f>
        <v>0</v>
      </c>
      <c r="T14" s="57">
        <f t="shared" si="2"/>
        <v>0</v>
      </c>
      <c r="U14" s="57" t="e">
        <f>R14/(' Part B Format'!K14+' Part B Format'!L14)</f>
        <v>#DIV/0!</v>
      </c>
      <c r="V14" s="57" t="e">
        <f>S14/(' Part B Format'!K14+' Part B Format'!L14)</f>
        <v>#DIV/0!</v>
      </c>
      <c r="W14" s="98">
        <f>'Part A Format'!$C$86*(' Part B Format'!K14+' Part B Format'!L14)</f>
        <v>0</v>
      </c>
      <c r="X14" s="99">
        <f t="shared" si="3"/>
        <v>0</v>
      </c>
      <c r="Y14" s="58" t="e">
        <f>X14/(' Part B Format'!K14+' Part B Format'!L14)</f>
        <v>#DIV/0!</v>
      </c>
    </row>
    <row r="15" spans="1:25" s="42" customFormat="1" ht="15" x14ac:dyDescent="0.3">
      <c r="A15" s="279">
        <f>' Part B Format'!A15</f>
        <v>0</v>
      </c>
      <c r="B15" s="89" t="str">
        <f>'Summary Data Part C'!$N$1</f>
        <v>School #8</v>
      </c>
      <c r="C15" s="279">
        <f>' Part B Format'!C15</f>
        <v>0</v>
      </c>
      <c r="D15" s="57">
        <f>'Summary Data Part C'!$N3</f>
        <v>0</v>
      </c>
      <c r="E15" s="57">
        <f>'Summary Data Part C'!$N4</f>
        <v>0</v>
      </c>
      <c r="F15" s="57">
        <f>'Summary Data Part C'!$N5</f>
        <v>0</v>
      </c>
      <c r="G15" s="57">
        <f>'Summary Data Part C'!$N6</f>
        <v>0</v>
      </c>
      <c r="H15" s="57">
        <f>'Summary Data Part C'!$N7</f>
        <v>0</v>
      </c>
      <c r="I15" s="57">
        <f t="shared" si="0"/>
        <v>0</v>
      </c>
      <c r="J15" s="57">
        <f>'Summary Data Part C'!N$12+'Summary Data Part C'!N$13+'Summary Data Part C'!N$14</f>
        <v>0</v>
      </c>
      <c r="K15" s="57">
        <f>+'Summary Data Part C'!$N$15+'Summary Data Part C'!$N$16+'Summary Data Part C'!$N$17</f>
        <v>0</v>
      </c>
      <c r="L15" s="57">
        <f>'Summary Data Part C'!$N$18+'Summary Data Part C'!$N$19+'Summary Data Part C'!$N$20</f>
        <v>0</v>
      </c>
      <c r="M15" s="57">
        <f>'Summary Data Part C'!$N$21+'Summary Data Part C'!$N$22+'Summary Data Part C'!$N$23</f>
        <v>0</v>
      </c>
      <c r="N15" s="57">
        <f>'Summary Data Part C'!$N$24+'Summary Data Part C'!$N$25+'Summary Data Part C'!$N$26</f>
        <v>0</v>
      </c>
      <c r="O15" s="57">
        <f>+'Summary Data Part C'!$N$27+'Summary Data Part C'!$N$28+'Summary Data Part C'!$N$29</f>
        <v>0</v>
      </c>
      <c r="P15" s="57">
        <f>+'Summary Data Part C'!$N$31+'Summary Data Part C'!$N$32+'Summary Data Part C'!$N$30</f>
        <v>0</v>
      </c>
      <c r="Q15" s="57">
        <f t="shared" si="1"/>
        <v>0</v>
      </c>
      <c r="R15" s="57">
        <f>'Summary Data Part C'!$N$38+'Summary Data Part C'!$N$39+'Summary Data Part C'!$N$40</f>
        <v>0</v>
      </c>
      <c r="S15" s="57">
        <f>+'Summary Data Part C'!$N$41+'Summary Data Part C'!$N$42+'Summary Data Part C'!$N$43</f>
        <v>0</v>
      </c>
      <c r="T15" s="57">
        <f t="shared" si="2"/>
        <v>0</v>
      </c>
      <c r="U15" s="57" t="e">
        <f>R15/(' Part B Format'!K15+' Part B Format'!L15)</f>
        <v>#DIV/0!</v>
      </c>
      <c r="V15" s="57" t="e">
        <f>S15/(' Part B Format'!K15+' Part B Format'!L15)</f>
        <v>#DIV/0!</v>
      </c>
      <c r="W15" s="98">
        <f>'Part A Format'!$C$86*(' Part B Format'!K15+' Part B Format'!L15)</f>
        <v>0</v>
      </c>
      <c r="X15" s="99">
        <f t="shared" si="3"/>
        <v>0</v>
      </c>
      <c r="Y15" s="58" t="e">
        <f>X15/(' Part B Format'!K15+' Part B Format'!L15)</f>
        <v>#DIV/0!</v>
      </c>
    </row>
    <row r="16" spans="1:25" s="42" customFormat="1" ht="15" x14ac:dyDescent="0.3">
      <c r="A16" s="279">
        <f>' Part B Format'!A16</f>
        <v>0</v>
      </c>
      <c r="B16" s="89" t="str">
        <f>'Summary Data Part C'!$O$1</f>
        <v>School #9</v>
      </c>
      <c r="C16" s="279">
        <f>' Part B Format'!C16</f>
        <v>0</v>
      </c>
      <c r="D16" s="57">
        <f>'Summary Data Part C'!$O3</f>
        <v>0</v>
      </c>
      <c r="E16" s="57">
        <f>'Summary Data Part C'!$O4</f>
        <v>0</v>
      </c>
      <c r="F16" s="57">
        <f>'Summary Data Part C'!$O5</f>
        <v>0</v>
      </c>
      <c r="G16" s="57">
        <f>'Summary Data Part C'!$O6</f>
        <v>0</v>
      </c>
      <c r="H16" s="57">
        <f>'Summary Data Part C'!$O7</f>
        <v>0</v>
      </c>
      <c r="I16" s="57">
        <f t="shared" si="0"/>
        <v>0</v>
      </c>
      <c r="J16" s="57">
        <f>'Summary Data Part C'!O$12+'Summary Data Part C'!O$13+'Summary Data Part C'!O$14</f>
        <v>0</v>
      </c>
      <c r="K16" s="57">
        <f>+'Summary Data Part C'!$O$15+'Summary Data Part C'!$O$16+'Summary Data Part C'!$O$17</f>
        <v>0</v>
      </c>
      <c r="L16" s="57">
        <f>'Summary Data Part C'!$O$18+'Summary Data Part C'!$O$19+'Summary Data Part C'!$O$20</f>
        <v>0</v>
      </c>
      <c r="M16" s="57">
        <f>'Summary Data Part C'!$O$21+'Summary Data Part C'!$O$22+'Summary Data Part C'!$O$23</f>
        <v>0</v>
      </c>
      <c r="N16" s="57">
        <f>'Summary Data Part C'!$O$24+'Summary Data Part C'!$O$25+'Summary Data Part C'!$O$26</f>
        <v>0</v>
      </c>
      <c r="O16" s="57">
        <f>+'Summary Data Part C'!$O$27+'Summary Data Part C'!$O$28+'Summary Data Part C'!$O$29</f>
        <v>0</v>
      </c>
      <c r="P16" s="57">
        <f>+'Summary Data Part C'!$O$31+'Summary Data Part C'!$O$32+'Summary Data Part C'!$O$30</f>
        <v>0</v>
      </c>
      <c r="Q16" s="57">
        <f t="shared" si="1"/>
        <v>0</v>
      </c>
      <c r="R16" s="57">
        <f>'Summary Data Part C'!$O$38+'Summary Data Part C'!$O$39+'Summary Data Part C'!$O$40</f>
        <v>0</v>
      </c>
      <c r="S16" s="57">
        <f>+'Summary Data Part C'!$O$41+'Summary Data Part C'!$O$42+'Summary Data Part C'!$O$43</f>
        <v>0</v>
      </c>
      <c r="T16" s="57">
        <f t="shared" si="2"/>
        <v>0</v>
      </c>
      <c r="U16" s="57" t="e">
        <f>R16/(' Part B Format'!K16+' Part B Format'!L16)</f>
        <v>#DIV/0!</v>
      </c>
      <c r="V16" s="57" t="e">
        <f>S16/(' Part B Format'!K16+' Part B Format'!L16)</f>
        <v>#DIV/0!</v>
      </c>
      <c r="W16" s="98">
        <f>'Part A Format'!$C$86*(' Part B Format'!K16+' Part B Format'!L16)</f>
        <v>0</v>
      </c>
      <c r="X16" s="99">
        <f t="shared" si="3"/>
        <v>0</v>
      </c>
      <c r="Y16" s="58" t="e">
        <f>X16/(' Part B Format'!K16+' Part B Format'!L16)</f>
        <v>#DIV/0!</v>
      </c>
    </row>
    <row r="17" spans="1:25" s="42" customFormat="1" ht="15" x14ac:dyDescent="0.3">
      <c r="A17" s="279">
        <f>' Part B Format'!A17</f>
        <v>0</v>
      </c>
      <c r="B17" s="89" t="str">
        <f>'Summary Data Part C'!$P$1</f>
        <v>School #10</v>
      </c>
      <c r="C17" s="279">
        <f>' Part B Format'!C17</f>
        <v>0</v>
      </c>
      <c r="D17" s="57">
        <f>'Summary Data Part C'!$P3</f>
        <v>0</v>
      </c>
      <c r="E17" s="57">
        <f>'Summary Data Part C'!$P4</f>
        <v>0</v>
      </c>
      <c r="F17" s="57">
        <f>'Summary Data Part C'!$P5</f>
        <v>0</v>
      </c>
      <c r="G17" s="57">
        <f>'Summary Data Part C'!$P6</f>
        <v>0</v>
      </c>
      <c r="H17" s="57">
        <f>'Summary Data Part C'!$P7</f>
        <v>0</v>
      </c>
      <c r="I17" s="57">
        <f t="shared" si="0"/>
        <v>0</v>
      </c>
      <c r="J17" s="57">
        <f>'Summary Data Part C'!P$12+'Summary Data Part C'!P$13+'Summary Data Part C'!P$14</f>
        <v>0</v>
      </c>
      <c r="K17" s="57">
        <f>+'Summary Data Part C'!$P$15+'Summary Data Part C'!$P$16+'Summary Data Part C'!$P$17</f>
        <v>0</v>
      </c>
      <c r="L17" s="57">
        <f>'Summary Data Part C'!$P$18+'Summary Data Part C'!$P$19+'Summary Data Part C'!$P$20</f>
        <v>0</v>
      </c>
      <c r="M17" s="57">
        <f>'Summary Data Part C'!$P$21+'Summary Data Part C'!$P$22+'Summary Data Part C'!$P$23</f>
        <v>0</v>
      </c>
      <c r="N17" s="57">
        <f>'Summary Data Part C'!$P$24+'Summary Data Part C'!$P$25+'Summary Data Part C'!$P$26</f>
        <v>0</v>
      </c>
      <c r="O17" s="57">
        <f>+'Summary Data Part C'!$P$27+'Summary Data Part C'!$P$28+'Summary Data Part C'!$P$29</f>
        <v>0</v>
      </c>
      <c r="P17" s="57">
        <f>+'Summary Data Part C'!$P$31+'Summary Data Part C'!$P$32+'Summary Data Part C'!$P$30</f>
        <v>0</v>
      </c>
      <c r="Q17" s="57">
        <f t="shared" si="1"/>
        <v>0</v>
      </c>
      <c r="R17" s="57">
        <f>'Summary Data Part C'!$P$38+'Summary Data Part C'!$P$39+'Summary Data Part C'!$P$40</f>
        <v>0</v>
      </c>
      <c r="S17" s="57">
        <f>+'Summary Data Part C'!$P$41+'Summary Data Part C'!$P$42+'Summary Data Part C'!$P$43</f>
        <v>0</v>
      </c>
      <c r="T17" s="57">
        <f t="shared" si="2"/>
        <v>0</v>
      </c>
      <c r="U17" s="57" t="e">
        <f>R17/(' Part B Format'!K17+' Part B Format'!L17)</f>
        <v>#DIV/0!</v>
      </c>
      <c r="V17" s="57" t="e">
        <f>S17/(' Part B Format'!K17+' Part B Format'!L17)</f>
        <v>#DIV/0!</v>
      </c>
      <c r="W17" s="98">
        <f>'Part A Format'!$C$86*(' Part B Format'!K17+' Part B Format'!L17)</f>
        <v>0</v>
      </c>
      <c r="X17" s="99">
        <f t="shared" si="3"/>
        <v>0</v>
      </c>
      <c r="Y17" s="58" t="e">
        <f>X17/(' Part B Format'!K17+' Part B Format'!L17)</f>
        <v>#DIV/0!</v>
      </c>
    </row>
    <row r="18" spans="1:25" s="42" customFormat="1" ht="15" x14ac:dyDescent="0.3">
      <c r="A18" s="279">
        <f>' Part B Format'!A18</f>
        <v>0</v>
      </c>
      <c r="B18" s="89" t="str">
        <f>'Summary Data Part C'!$Q$1</f>
        <v>School #11</v>
      </c>
      <c r="C18" s="279">
        <f>' Part B Format'!C18</f>
        <v>0</v>
      </c>
      <c r="D18" s="57">
        <f>'Summary Data Part C'!$Q3</f>
        <v>0</v>
      </c>
      <c r="E18" s="57">
        <f>'Summary Data Part C'!$Q4</f>
        <v>0</v>
      </c>
      <c r="F18" s="57">
        <f>'Summary Data Part C'!$Q5</f>
        <v>0</v>
      </c>
      <c r="G18" s="57">
        <f>'Summary Data Part C'!$Q6</f>
        <v>0</v>
      </c>
      <c r="H18" s="57">
        <f>'Summary Data Part C'!$Q7</f>
        <v>0</v>
      </c>
      <c r="I18" s="57">
        <f t="shared" si="0"/>
        <v>0</v>
      </c>
      <c r="J18" s="57">
        <f>'Summary Data Part C'!Q$12+'Summary Data Part C'!Q$13+'Summary Data Part C'!Q$14</f>
        <v>0</v>
      </c>
      <c r="K18" s="57">
        <f>+'Summary Data Part C'!$Q$15+'Summary Data Part C'!$Q$16+'Summary Data Part C'!$Q$17</f>
        <v>0</v>
      </c>
      <c r="L18" s="57">
        <f>'Summary Data Part C'!$Q$18+'Summary Data Part C'!$Q$19+'Summary Data Part C'!$Q$20</f>
        <v>0</v>
      </c>
      <c r="M18" s="57">
        <f>'Summary Data Part C'!$Q$21+'Summary Data Part C'!$Q$22+'Summary Data Part C'!$Q$23</f>
        <v>0</v>
      </c>
      <c r="N18" s="57">
        <f>'Summary Data Part C'!$Q$24+'Summary Data Part C'!$Q$25+'Summary Data Part C'!$Q$26</f>
        <v>0</v>
      </c>
      <c r="O18" s="57">
        <f>+'Summary Data Part C'!$Q$27+'Summary Data Part C'!$Q$28+'Summary Data Part C'!$Q$29</f>
        <v>0</v>
      </c>
      <c r="P18" s="57">
        <f>+'Summary Data Part C'!$Q$31+'Summary Data Part C'!$Q$32+'Summary Data Part C'!$Q$30</f>
        <v>0</v>
      </c>
      <c r="Q18" s="57">
        <f t="shared" si="1"/>
        <v>0</v>
      </c>
      <c r="R18" s="57">
        <f>'Summary Data Part C'!$Q$38+'Summary Data Part C'!$Q$39+'Summary Data Part C'!$Q$40</f>
        <v>0</v>
      </c>
      <c r="S18" s="57">
        <f>+'Summary Data Part C'!$Q$41+'Summary Data Part C'!$Q$42+'Summary Data Part C'!$Q$43</f>
        <v>0</v>
      </c>
      <c r="T18" s="57">
        <f t="shared" si="2"/>
        <v>0</v>
      </c>
      <c r="U18" s="57" t="e">
        <f>R18/(' Part B Format'!K18+' Part B Format'!L18)</f>
        <v>#DIV/0!</v>
      </c>
      <c r="V18" s="57" t="e">
        <f>S18/(' Part B Format'!K18+' Part B Format'!L18)</f>
        <v>#DIV/0!</v>
      </c>
      <c r="W18" s="98">
        <f>'Part A Format'!$C$86*(' Part B Format'!K18+' Part B Format'!L18)</f>
        <v>0</v>
      </c>
      <c r="X18" s="99">
        <f t="shared" si="3"/>
        <v>0</v>
      </c>
      <c r="Y18" s="58" t="e">
        <f>X18/(' Part B Format'!K18+' Part B Format'!L18)</f>
        <v>#DIV/0!</v>
      </c>
    </row>
    <row r="19" spans="1:25" s="42" customFormat="1" ht="15" x14ac:dyDescent="0.3">
      <c r="A19" s="279">
        <f>' Part B Format'!A19</f>
        <v>0</v>
      </c>
      <c r="B19" s="89" t="str">
        <f>'Summary Data Part C'!$R$1</f>
        <v>School #12</v>
      </c>
      <c r="C19" s="279">
        <f>' Part B Format'!C19</f>
        <v>0</v>
      </c>
      <c r="D19" s="57">
        <f>'Summary Data Part C'!$R3</f>
        <v>0</v>
      </c>
      <c r="E19" s="57">
        <f>'Summary Data Part C'!$R4</f>
        <v>0</v>
      </c>
      <c r="F19" s="57">
        <f>'Summary Data Part C'!$R5</f>
        <v>0</v>
      </c>
      <c r="G19" s="57">
        <f>'Summary Data Part C'!$R6</f>
        <v>0</v>
      </c>
      <c r="H19" s="57">
        <f>'Summary Data Part C'!$R7</f>
        <v>0</v>
      </c>
      <c r="I19" s="57">
        <f t="shared" si="0"/>
        <v>0</v>
      </c>
      <c r="J19" s="57">
        <f>'Summary Data Part C'!R$12+'Summary Data Part C'!R$13+'Summary Data Part C'!R$14</f>
        <v>0</v>
      </c>
      <c r="K19" s="57">
        <f>+'Summary Data Part C'!$R$15+'Summary Data Part C'!$R$16+'Summary Data Part C'!$R$17</f>
        <v>0</v>
      </c>
      <c r="L19" s="57">
        <f>'Summary Data Part C'!$R$18+'Summary Data Part C'!$R$19+'Summary Data Part C'!$R$20</f>
        <v>0</v>
      </c>
      <c r="M19" s="57">
        <f>'Summary Data Part C'!$R$21+'Summary Data Part C'!$R$22+'Summary Data Part C'!$R$23</f>
        <v>0</v>
      </c>
      <c r="N19" s="57">
        <f>'Summary Data Part C'!$R$24+'Summary Data Part C'!$R$25+'Summary Data Part C'!$R$26</f>
        <v>0</v>
      </c>
      <c r="O19" s="57">
        <f>+'Summary Data Part C'!$R$27+'Summary Data Part C'!$R$28+'Summary Data Part C'!$R$29</f>
        <v>0</v>
      </c>
      <c r="P19" s="57">
        <f>+'Summary Data Part C'!$R$31+'Summary Data Part C'!$R$32+'Summary Data Part C'!$R$30</f>
        <v>0</v>
      </c>
      <c r="Q19" s="57">
        <f t="shared" si="1"/>
        <v>0</v>
      </c>
      <c r="R19" s="57">
        <f>'Summary Data Part C'!$R$38+'Summary Data Part C'!$R$39+'Summary Data Part C'!$R$40</f>
        <v>0</v>
      </c>
      <c r="S19" s="57">
        <f>+'Summary Data Part C'!$R$41+'Summary Data Part C'!$R$42+'Summary Data Part C'!$R$43</f>
        <v>0</v>
      </c>
      <c r="T19" s="57">
        <f t="shared" si="2"/>
        <v>0</v>
      </c>
      <c r="U19" s="57" t="e">
        <f>R19/(' Part B Format'!K19+' Part B Format'!L19)</f>
        <v>#DIV/0!</v>
      </c>
      <c r="V19" s="57" t="e">
        <f>S19/(' Part B Format'!K19+' Part B Format'!L19)</f>
        <v>#DIV/0!</v>
      </c>
      <c r="W19" s="98">
        <f>'Part A Format'!$C$86*(' Part B Format'!K19+' Part B Format'!L19)</f>
        <v>0</v>
      </c>
      <c r="X19" s="99">
        <f t="shared" si="3"/>
        <v>0</v>
      </c>
      <c r="Y19" s="58" t="e">
        <f>X19/(' Part B Format'!K19+' Part B Format'!L19)</f>
        <v>#DIV/0!</v>
      </c>
    </row>
    <row r="20" spans="1:25" s="42" customFormat="1" ht="15" x14ac:dyDescent="0.3">
      <c r="A20" s="279">
        <f>' Part B Format'!A20</f>
        <v>0</v>
      </c>
      <c r="B20" s="89" t="str">
        <f>'Summary Data Part C'!$S$1</f>
        <v>School #13</v>
      </c>
      <c r="C20" s="279">
        <f>' Part B Format'!C20</f>
        <v>0</v>
      </c>
      <c r="D20" s="57">
        <f>'Summary Data Part C'!$S3</f>
        <v>0</v>
      </c>
      <c r="E20" s="57">
        <f>'Summary Data Part C'!$S4</f>
        <v>0</v>
      </c>
      <c r="F20" s="57">
        <f>'Summary Data Part C'!$S5</f>
        <v>0</v>
      </c>
      <c r="G20" s="57">
        <f>'Summary Data Part C'!$S6</f>
        <v>0</v>
      </c>
      <c r="H20" s="57">
        <f>'Summary Data Part C'!$S7</f>
        <v>0</v>
      </c>
      <c r="I20" s="57">
        <f t="shared" si="0"/>
        <v>0</v>
      </c>
      <c r="J20" s="57">
        <f>'Summary Data Part C'!S$12+'Summary Data Part C'!S$13+'Summary Data Part C'!S$14</f>
        <v>0</v>
      </c>
      <c r="K20" s="57">
        <f>+'Summary Data Part C'!$S$15+'Summary Data Part C'!$S$16+'Summary Data Part C'!$S$17</f>
        <v>0</v>
      </c>
      <c r="L20" s="57">
        <f>'Summary Data Part C'!$S$18+'Summary Data Part C'!$S$19+'Summary Data Part C'!$S$20</f>
        <v>0</v>
      </c>
      <c r="M20" s="57">
        <f>'Summary Data Part C'!$S$21+'Summary Data Part C'!$S$22+'Summary Data Part C'!$S$23</f>
        <v>0</v>
      </c>
      <c r="N20" s="57">
        <f>'Summary Data Part C'!$S$24+'Summary Data Part C'!$S$25+'Summary Data Part C'!$S$26</f>
        <v>0</v>
      </c>
      <c r="O20" s="57">
        <f>+'Summary Data Part C'!$S$27+'Summary Data Part C'!$S$28+'Summary Data Part C'!$S$29</f>
        <v>0</v>
      </c>
      <c r="P20" s="57">
        <f>+'Summary Data Part C'!$S$31+'Summary Data Part C'!$S$32+'Summary Data Part C'!$S$30</f>
        <v>0</v>
      </c>
      <c r="Q20" s="57">
        <f t="shared" si="1"/>
        <v>0</v>
      </c>
      <c r="R20" s="57">
        <f>'Summary Data Part C'!$S$38+'Summary Data Part C'!$S$39+'Summary Data Part C'!$S$40</f>
        <v>0</v>
      </c>
      <c r="S20" s="57">
        <f>+'Summary Data Part C'!$S$41+'Summary Data Part C'!$S$42+'Summary Data Part C'!$S$43</f>
        <v>0</v>
      </c>
      <c r="T20" s="57">
        <f t="shared" si="2"/>
        <v>0</v>
      </c>
      <c r="U20" s="57" t="e">
        <f>R20/(' Part B Format'!K20+' Part B Format'!L20)</f>
        <v>#DIV/0!</v>
      </c>
      <c r="V20" s="57" t="e">
        <f>S20/(' Part B Format'!K20+' Part B Format'!L20)</f>
        <v>#DIV/0!</v>
      </c>
      <c r="W20" s="98">
        <f>'Part A Format'!$C$86*(' Part B Format'!K20+' Part B Format'!L20)</f>
        <v>0</v>
      </c>
      <c r="X20" s="99">
        <f t="shared" si="3"/>
        <v>0</v>
      </c>
      <c r="Y20" s="58" t="e">
        <f>X20/(' Part B Format'!K20+' Part B Format'!L20)</f>
        <v>#DIV/0!</v>
      </c>
    </row>
    <row r="21" spans="1:25" s="42" customFormat="1" ht="15" x14ac:dyDescent="0.3">
      <c r="A21" s="279">
        <f>' Part B Format'!A21</f>
        <v>0</v>
      </c>
      <c r="B21" s="89" t="str">
        <f>'Summary Data Part C'!$T$1</f>
        <v>School #14</v>
      </c>
      <c r="C21" s="279">
        <f>' Part B Format'!C21</f>
        <v>0</v>
      </c>
      <c r="D21" s="57">
        <f>'Summary Data Part C'!$T3</f>
        <v>0</v>
      </c>
      <c r="E21" s="57">
        <f>'Summary Data Part C'!$T4</f>
        <v>0</v>
      </c>
      <c r="F21" s="57">
        <f>'Summary Data Part C'!$T5</f>
        <v>0</v>
      </c>
      <c r="G21" s="57">
        <f>'Summary Data Part C'!$T6</f>
        <v>0</v>
      </c>
      <c r="H21" s="57">
        <f>'Summary Data Part C'!$T7</f>
        <v>0</v>
      </c>
      <c r="I21" s="57">
        <f t="shared" si="0"/>
        <v>0</v>
      </c>
      <c r="J21" s="57">
        <f>'Summary Data Part C'!T$12+'Summary Data Part C'!T$13+'Summary Data Part C'!T$14</f>
        <v>0</v>
      </c>
      <c r="K21" s="57">
        <f>+'Summary Data Part C'!$T$15+'Summary Data Part C'!$T$16+'Summary Data Part C'!$T$17</f>
        <v>0</v>
      </c>
      <c r="L21" s="57">
        <f>'Summary Data Part C'!$T$18+'Summary Data Part C'!$T$19+'Summary Data Part C'!$T$20</f>
        <v>0</v>
      </c>
      <c r="M21" s="57">
        <f>'Summary Data Part C'!$T$21+'Summary Data Part C'!$T$22+'Summary Data Part C'!$T$23</f>
        <v>0</v>
      </c>
      <c r="N21" s="57">
        <f>'Summary Data Part C'!$T$24+'Summary Data Part C'!$T$25+'Summary Data Part C'!$T$26</f>
        <v>0</v>
      </c>
      <c r="O21" s="57">
        <f>+'Summary Data Part C'!$T$27+'Summary Data Part C'!$T$28+'Summary Data Part C'!$T$29</f>
        <v>0</v>
      </c>
      <c r="P21" s="57">
        <f>+'Summary Data Part C'!$T$31+'Summary Data Part C'!$T$32+'Summary Data Part C'!$T$30</f>
        <v>0</v>
      </c>
      <c r="Q21" s="57">
        <f t="shared" si="1"/>
        <v>0</v>
      </c>
      <c r="R21" s="57">
        <f>'Summary Data Part C'!$T$38+'Summary Data Part C'!$T$39+'Summary Data Part C'!$T$40</f>
        <v>0</v>
      </c>
      <c r="S21" s="57">
        <f>+'Summary Data Part C'!$T$41+'Summary Data Part C'!$T$42+'Summary Data Part C'!$T$43</f>
        <v>0</v>
      </c>
      <c r="T21" s="57">
        <f t="shared" si="2"/>
        <v>0</v>
      </c>
      <c r="U21" s="57" t="e">
        <f>R21/(' Part B Format'!K21+' Part B Format'!L21)</f>
        <v>#DIV/0!</v>
      </c>
      <c r="V21" s="57" t="e">
        <f>S21/(' Part B Format'!K21+' Part B Format'!L21)</f>
        <v>#DIV/0!</v>
      </c>
      <c r="W21" s="98">
        <f>'Part A Format'!$C$86*(' Part B Format'!K21+' Part B Format'!L21)</f>
        <v>0</v>
      </c>
      <c r="X21" s="99">
        <f t="shared" si="3"/>
        <v>0</v>
      </c>
      <c r="Y21" s="58" t="e">
        <f>X21/(' Part B Format'!K21+' Part B Format'!L21)</f>
        <v>#DIV/0!</v>
      </c>
    </row>
    <row r="22" spans="1:25" s="42" customFormat="1" ht="15" x14ac:dyDescent="0.3">
      <c r="A22" s="279">
        <f>' Part B Format'!A22</f>
        <v>0</v>
      </c>
      <c r="B22" s="89" t="str">
        <f>'Summary Data Part C'!$U$1</f>
        <v>School #15</v>
      </c>
      <c r="C22" s="279">
        <f>' Part B Format'!C22</f>
        <v>0</v>
      </c>
      <c r="D22" s="57">
        <f>'Summary Data Part C'!$U3</f>
        <v>0</v>
      </c>
      <c r="E22" s="57">
        <f>'Summary Data Part C'!$U4</f>
        <v>0</v>
      </c>
      <c r="F22" s="57">
        <f>'Summary Data Part C'!$U5</f>
        <v>0</v>
      </c>
      <c r="G22" s="57">
        <f>'Summary Data Part C'!$U6</f>
        <v>0</v>
      </c>
      <c r="H22" s="57">
        <f>'Summary Data Part C'!$U7</f>
        <v>0</v>
      </c>
      <c r="I22" s="57">
        <f t="shared" si="0"/>
        <v>0</v>
      </c>
      <c r="J22" s="57">
        <f>'Summary Data Part C'!U$12+'Summary Data Part C'!U$13+'Summary Data Part C'!U$14</f>
        <v>0</v>
      </c>
      <c r="K22" s="57">
        <f>+'Summary Data Part C'!$U$15+'Summary Data Part C'!$U$16+'Summary Data Part C'!$U$17</f>
        <v>0</v>
      </c>
      <c r="L22" s="57">
        <f>'Summary Data Part C'!$U$18+'Summary Data Part C'!$U$19+'Summary Data Part C'!$U$20</f>
        <v>0</v>
      </c>
      <c r="M22" s="57">
        <f>'Summary Data Part C'!$U$21+'Summary Data Part C'!$U$22+'Summary Data Part C'!$U$23</f>
        <v>0</v>
      </c>
      <c r="N22" s="57">
        <f>'Summary Data Part C'!$U$24+'Summary Data Part C'!$U$25+'Summary Data Part C'!$U$26</f>
        <v>0</v>
      </c>
      <c r="O22" s="57">
        <f>+'Summary Data Part C'!$U$27+'Summary Data Part C'!$U$28+'Summary Data Part C'!$U$29</f>
        <v>0</v>
      </c>
      <c r="P22" s="57">
        <f>+'Summary Data Part C'!$U$31+'Summary Data Part C'!$U$32+'Summary Data Part C'!$U$30</f>
        <v>0</v>
      </c>
      <c r="Q22" s="57">
        <f t="shared" si="1"/>
        <v>0</v>
      </c>
      <c r="R22" s="57">
        <f>'Summary Data Part C'!$U$38+'Summary Data Part C'!$U$39+'Summary Data Part C'!$U$40</f>
        <v>0</v>
      </c>
      <c r="S22" s="57">
        <f>+'Summary Data Part C'!$U$41+'Summary Data Part C'!$U$42+'Summary Data Part C'!$U$43</f>
        <v>0</v>
      </c>
      <c r="T22" s="57">
        <f t="shared" si="2"/>
        <v>0</v>
      </c>
      <c r="U22" s="57" t="e">
        <f>R22/(' Part B Format'!K22+' Part B Format'!L22)</f>
        <v>#DIV/0!</v>
      </c>
      <c r="V22" s="57" t="e">
        <f>S22/(' Part B Format'!K22+' Part B Format'!L22)</f>
        <v>#DIV/0!</v>
      </c>
      <c r="W22" s="98">
        <f>'Part A Format'!$C$86*(' Part B Format'!K22+' Part B Format'!L22)</f>
        <v>0</v>
      </c>
      <c r="X22" s="99">
        <f t="shared" si="3"/>
        <v>0</v>
      </c>
      <c r="Y22" s="58" t="e">
        <f>X22/(' Part B Format'!K22+' Part B Format'!L22)</f>
        <v>#DIV/0!</v>
      </c>
    </row>
    <row r="23" spans="1:25" s="42" customFormat="1" ht="15" x14ac:dyDescent="0.3">
      <c r="A23" s="279">
        <f>' Part B Format'!A23</f>
        <v>0</v>
      </c>
      <c r="B23" s="89" t="str">
        <f>'Summary Data Part C'!$V$1</f>
        <v>School #16</v>
      </c>
      <c r="C23" s="279">
        <f>' Part B Format'!C23</f>
        <v>0</v>
      </c>
      <c r="D23" s="57">
        <f>'Summary Data Part C'!$V3</f>
        <v>0</v>
      </c>
      <c r="E23" s="57">
        <f>'Summary Data Part C'!$V4</f>
        <v>0</v>
      </c>
      <c r="F23" s="57">
        <f>'Summary Data Part C'!$V5</f>
        <v>0</v>
      </c>
      <c r="G23" s="57">
        <f>'Summary Data Part C'!$V6</f>
        <v>0</v>
      </c>
      <c r="H23" s="57">
        <f>'Summary Data Part C'!$V7</f>
        <v>0</v>
      </c>
      <c r="I23" s="57">
        <f t="shared" si="0"/>
        <v>0</v>
      </c>
      <c r="J23" s="57">
        <f>'Summary Data Part C'!V$12+'Summary Data Part C'!V$13+'Summary Data Part C'!V$14</f>
        <v>0</v>
      </c>
      <c r="K23" s="57">
        <f>+'Summary Data Part C'!$V$15+'Summary Data Part C'!$V$16+'Summary Data Part C'!$V$17</f>
        <v>0</v>
      </c>
      <c r="L23" s="57">
        <f>'Summary Data Part C'!$V$18+'Summary Data Part C'!$V$19+'Summary Data Part C'!$V$20</f>
        <v>0</v>
      </c>
      <c r="M23" s="57">
        <f>'Summary Data Part C'!$V$21+'Summary Data Part C'!$V$22+'Summary Data Part C'!$V$23</f>
        <v>0</v>
      </c>
      <c r="N23" s="57">
        <f>'Summary Data Part C'!$V$24+'Summary Data Part C'!$V$25+'Summary Data Part C'!$V$26</f>
        <v>0</v>
      </c>
      <c r="O23" s="57">
        <f>+'Summary Data Part C'!$V$27+'Summary Data Part C'!$V$28+'Summary Data Part C'!$V$29</f>
        <v>0</v>
      </c>
      <c r="P23" s="57">
        <f>+'Summary Data Part C'!$V$31+'Summary Data Part C'!$V$32+'Summary Data Part C'!$V$30</f>
        <v>0</v>
      </c>
      <c r="Q23" s="57">
        <f t="shared" si="1"/>
        <v>0</v>
      </c>
      <c r="R23" s="57">
        <f>'Summary Data Part C'!$V$38+'Summary Data Part C'!$V$39+'Summary Data Part C'!$V$40</f>
        <v>0</v>
      </c>
      <c r="S23" s="57">
        <f>+'Summary Data Part C'!$V$41+'Summary Data Part C'!$V$42+'Summary Data Part C'!$V$43</f>
        <v>0</v>
      </c>
      <c r="T23" s="57">
        <f t="shared" si="2"/>
        <v>0</v>
      </c>
      <c r="U23" s="57" t="e">
        <f>R23/(' Part B Format'!K23+' Part B Format'!L23)</f>
        <v>#DIV/0!</v>
      </c>
      <c r="V23" s="57" t="e">
        <f>S23/(' Part B Format'!K23+' Part B Format'!L23)</f>
        <v>#DIV/0!</v>
      </c>
      <c r="W23" s="98">
        <f>'Part A Format'!$C$86*(' Part B Format'!K23+' Part B Format'!L23)</f>
        <v>0</v>
      </c>
      <c r="X23" s="99">
        <f t="shared" si="3"/>
        <v>0</v>
      </c>
      <c r="Y23" s="58" t="e">
        <f>X23/(' Part B Format'!K23+' Part B Format'!L23)</f>
        <v>#DIV/0!</v>
      </c>
    </row>
    <row r="24" spans="1:25" s="42" customFormat="1" ht="15.75" thickBot="1" x14ac:dyDescent="0.35">
      <c r="A24" s="279">
        <f>' Part B Format'!A24</f>
        <v>0</v>
      </c>
      <c r="B24" s="89" t="str">
        <f>'Summary Data Part C'!$W$1</f>
        <v>School #17</v>
      </c>
      <c r="C24" s="279">
        <f>' Part B Format'!C24</f>
        <v>0</v>
      </c>
      <c r="D24" s="57">
        <f>'Summary Data Part C'!$W3</f>
        <v>0</v>
      </c>
      <c r="E24" s="57">
        <f>'Summary Data Part C'!$W4</f>
        <v>0</v>
      </c>
      <c r="F24" s="57">
        <f>'Summary Data Part C'!$W5</f>
        <v>0</v>
      </c>
      <c r="G24" s="57">
        <f>'Summary Data Part C'!$W6</f>
        <v>0</v>
      </c>
      <c r="H24" s="57">
        <f>'Summary Data Part C'!$W7</f>
        <v>0</v>
      </c>
      <c r="I24" s="90">
        <f t="shared" si="0"/>
        <v>0</v>
      </c>
      <c r="J24" s="57">
        <f>'Summary Data Part C'!W$12+'Summary Data Part C'!W$13+'Summary Data Part C'!W$14</f>
        <v>0</v>
      </c>
      <c r="K24" s="57">
        <f>+'Summary Data Part C'!$W$15+'Summary Data Part C'!$W$16+'Summary Data Part C'!$W$17</f>
        <v>0</v>
      </c>
      <c r="L24" s="57">
        <f>'Summary Data Part C'!$W$18+'Summary Data Part C'!$W$19+'Summary Data Part C'!$W$20</f>
        <v>0</v>
      </c>
      <c r="M24" s="57">
        <f>'Summary Data Part C'!$W$21+'Summary Data Part C'!$W$22+'Summary Data Part C'!$W$23</f>
        <v>0</v>
      </c>
      <c r="N24" s="57">
        <f>'Summary Data Part C'!$W$24+'Summary Data Part C'!$W$25+'Summary Data Part C'!$W$26</f>
        <v>0</v>
      </c>
      <c r="O24" s="57">
        <f>+'Summary Data Part C'!$W$27+'Summary Data Part C'!$W$28+'Summary Data Part C'!$W$29</f>
        <v>0</v>
      </c>
      <c r="P24" s="57">
        <f>+'Summary Data Part C'!$W$31+'Summary Data Part C'!$W$32+'Summary Data Part C'!$W$30</f>
        <v>0</v>
      </c>
      <c r="Q24" s="90">
        <f t="shared" si="1"/>
        <v>0</v>
      </c>
      <c r="R24" s="57">
        <f>'Summary Data Part C'!$W$38+'Summary Data Part C'!$W$39+'Summary Data Part C'!$W$40</f>
        <v>0</v>
      </c>
      <c r="S24" s="57">
        <f>+'Summary Data Part C'!$W$41+'Summary Data Part C'!$W$42+'Summary Data Part C'!$W$43</f>
        <v>0</v>
      </c>
      <c r="T24" s="90">
        <f t="shared" si="2"/>
        <v>0</v>
      </c>
      <c r="U24" s="57" t="e">
        <f>R24/(' Part B Format'!K24+' Part B Format'!L24)</f>
        <v>#DIV/0!</v>
      </c>
      <c r="V24" s="57" t="e">
        <f>S24/(' Part B Format'!K24+' Part B Format'!L24)</f>
        <v>#DIV/0!</v>
      </c>
      <c r="W24" s="102">
        <f>'Part A Format'!$C$86*(' Part B Format'!K24+' Part B Format'!L24)</f>
        <v>0</v>
      </c>
      <c r="X24" s="100">
        <f t="shared" si="3"/>
        <v>0</v>
      </c>
      <c r="Y24" s="58" t="e">
        <f>X24/(' Part B Format'!K24+' Part B Format'!L24)</f>
        <v>#DIV/0!</v>
      </c>
    </row>
    <row r="25" spans="1:25" s="31" customFormat="1" ht="15" customHeight="1" thickBot="1" x14ac:dyDescent="0.35">
      <c r="A25" s="33" t="s">
        <v>154</v>
      </c>
      <c r="B25" s="33"/>
      <c r="D25" s="59">
        <f t="shared" ref="D25:T25" si="4">SUM(D8:D24)</f>
        <v>25014480.43</v>
      </c>
      <c r="E25" s="59">
        <f t="shared" si="4"/>
        <v>5073891</v>
      </c>
      <c r="F25" s="59">
        <f t="shared" si="4"/>
        <v>12132650.229755992</v>
      </c>
      <c r="G25" s="59">
        <f t="shared" si="4"/>
        <v>373120</v>
      </c>
      <c r="H25" s="59">
        <f t="shared" si="4"/>
        <v>2484548.0000000005</v>
      </c>
      <c r="I25" s="91">
        <f t="shared" si="4"/>
        <v>45078689.65975599</v>
      </c>
      <c r="J25" s="59">
        <f t="shared" si="4"/>
        <v>27650434.423105914</v>
      </c>
      <c r="K25" s="59">
        <f t="shared" si="4"/>
        <v>0</v>
      </c>
      <c r="L25" s="59">
        <f t="shared" si="4"/>
        <v>9798061.1081492733</v>
      </c>
      <c r="M25" s="59">
        <f t="shared" si="4"/>
        <v>0</v>
      </c>
      <c r="N25" s="59">
        <f t="shared" si="4"/>
        <v>3097026.748878967</v>
      </c>
      <c r="O25" s="59">
        <f t="shared" si="4"/>
        <v>1226986.6045480906</v>
      </c>
      <c r="P25" s="59">
        <f t="shared" si="4"/>
        <v>3306180.7750737472</v>
      </c>
      <c r="Q25" s="91">
        <f t="shared" si="4"/>
        <v>45078689.65975599</v>
      </c>
      <c r="R25" s="59">
        <f t="shared" si="4"/>
        <v>44121334.229755998</v>
      </c>
      <c r="S25" s="59">
        <f t="shared" si="4"/>
        <v>957355.43</v>
      </c>
      <c r="T25" s="91">
        <f t="shared" si="4"/>
        <v>45078689.659755997</v>
      </c>
      <c r="W25" s="101">
        <f>SUM(W8:W24)</f>
        <v>12432995.210000001</v>
      </c>
      <c r="X25" s="101">
        <f>SUM(X8:X24)</f>
        <v>57511684.869755998</v>
      </c>
      <c r="Y25" s="59"/>
    </row>
    <row r="26" spans="1:25" ht="17.25" x14ac:dyDescent="0.35">
      <c r="H26" s="108" t="s">
        <v>394</v>
      </c>
      <c r="P26" s="108" t="s">
        <v>394</v>
      </c>
      <c r="S26" s="108" t="s">
        <v>394</v>
      </c>
      <c r="V26" s="108" t="s">
        <v>394</v>
      </c>
      <c r="Y26" s="108" t="s">
        <v>394</v>
      </c>
    </row>
    <row r="27" spans="1:25" x14ac:dyDescent="0.3">
      <c r="H27" s="109" t="s">
        <v>415</v>
      </c>
      <c r="P27" s="109" t="s">
        <v>415</v>
      </c>
      <c r="S27" s="109" t="s">
        <v>415</v>
      </c>
      <c r="V27" s="109" t="s">
        <v>395</v>
      </c>
      <c r="Y27" s="109" t="s">
        <v>395</v>
      </c>
    </row>
    <row r="28" spans="1:25" ht="33.75" thickBot="1" x14ac:dyDescent="0.35">
      <c r="H28" s="110" t="s">
        <v>396</v>
      </c>
      <c r="P28" s="110" t="s">
        <v>396</v>
      </c>
      <c r="S28" s="110" t="s">
        <v>396</v>
      </c>
      <c r="V28" s="110" t="s">
        <v>396</v>
      </c>
      <c r="Y28" s="110" t="s">
        <v>396</v>
      </c>
    </row>
    <row r="29" spans="1:25" ht="17.25" thickBot="1" x14ac:dyDescent="0.35">
      <c r="H29" s="32" t="s">
        <v>456</v>
      </c>
      <c r="I29" s="107">
        <f>'Part A Format'!$C$88</f>
        <v>45078689.649999999</v>
      </c>
      <c r="P29" s="32" t="s">
        <v>457</v>
      </c>
      <c r="Q29" s="107">
        <f>'Part A Format'!$C$88</f>
        <v>45078689.649999999</v>
      </c>
      <c r="S29" s="32" t="s">
        <v>457</v>
      </c>
      <c r="T29" s="107">
        <f>'Part A Format'!$C$88</f>
        <v>45078689.649999999</v>
      </c>
      <c r="V29" s="32" t="s">
        <v>458</v>
      </c>
      <c r="W29" s="103">
        <f>'Part A Format'!C85</f>
        <v>12432995.210000001</v>
      </c>
      <c r="X29" s="103">
        <f>'Part A Format'!C56</f>
        <v>57511684.859999999</v>
      </c>
      <c r="Y29" s="32" t="s">
        <v>459</v>
      </c>
    </row>
  </sheetData>
  <sheetProtection algorithmName="SHA-512" hashValue="ngtx7ZBKUYYXnGwq0+8uMzTbeXpydOrWl2QddwJJX6xr6ugUhar5XcA3g0v5knF5gAg5y/i1aQBXf8ghrlsYrw==" saltValue="N1Aw9BoQPm1d8kf8YXxBZw==" spinCount="100000" sheet="1" objects="1" scenarios="1"/>
  <mergeCells count="8">
    <mergeCell ref="D5:I5"/>
    <mergeCell ref="J5:Q5"/>
    <mergeCell ref="R5:T5"/>
    <mergeCell ref="U5:V5"/>
    <mergeCell ref="D6:F6"/>
    <mergeCell ref="J6:K6"/>
    <mergeCell ref="L6:M6"/>
    <mergeCell ref="N6:P6"/>
  </mergeCells>
  <pageMargins left="0.25" right="0.25" top="0.75" bottom="0.75" header="0.3" footer="0.3"/>
  <pageSetup paperSize="3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8E47-82E2-40F8-A3C3-8EC8D6EF83BF}">
  <sheetPr>
    <tabColor rgb="FF00B0F0"/>
    <pageSetUpPr fitToPage="1"/>
  </sheetPr>
  <dimension ref="A1:Y37"/>
  <sheetViews>
    <sheetView topLeftCell="J1" workbookViewId="0">
      <selection activeCell="J8" sqref="J8"/>
    </sheetView>
  </sheetViews>
  <sheetFormatPr defaultColWidth="9.140625" defaultRowHeight="16.5" x14ac:dyDescent="0.3"/>
  <cols>
    <col min="1" max="1" width="15.140625" style="32" customWidth="1"/>
    <col min="2" max="2" width="42" style="32" customWidth="1"/>
    <col min="3" max="3" width="17.7109375" style="32" customWidth="1"/>
    <col min="4" max="4" width="14.5703125" style="32" customWidth="1"/>
    <col min="5" max="5" width="18.85546875" style="32" customWidth="1"/>
    <col min="6" max="7" width="11.28515625" style="32" customWidth="1"/>
    <col min="8" max="10" width="11.42578125" style="32" customWidth="1"/>
    <col min="11" max="12" width="13.42578125" style="32" customWidth="1"/>
    <col min="13" max="13" width="12.42578125" style="32" customWidth="1"/>
    <col min="14" max="14" width="13.7109375" style="32" customWidth="1"/>
    <col min="15" max="15" width="11.42578125" style="32" customWidth="1"/>
    <col min="16" max="19" width="11.28515625" style="32" customWidth="1"/>
    <col min="20" max="20" width="13.5703125" style="32" customWidth="1"/>
    <col min="21" max="21" width="11.28515625" style="32" customWidth="1"/>
    <col min="22" max="22" width="14.5703125" style="32" customWidth="1"/>
    <col min="23" max="25" width="15.5703125" style="32" customWidth="1"/>
    <col min="26" max="16384" width="9.140625" style="32"/>
  </cols>
  <sheetData>
    <row r="1" spans="1:25" customFormat="1" ht="18" x14ac:dyDescent="0.35">
      <c r="A1" s="30" t="s">
        <v>186</v>
      </c>
    </row>
    <row r="2" spans="1:25" s="31" customFormat="1" ht="15" customHeight="1" x14ac:dyDescent="0.3"/>
    <row r="3" spans="1:25" s="31" customFormat="1" ht="15" customHeight="1" x14ac:dyDescent="0.3">
      <c r="A3" s="47" t="s">
        <v>156</v>
      </c>
      <c r="B3" s="48"/>
      <c r="C3" s="48"/>
    </row>
    <row r="4" spans="1:25" s="31" customFormat="1" ht="15" customHeight="1" x14ac:dyDescent="0.3"/>
    <row r="5" spans="1:25" s="31" customFormat="1" ht="15" customHeight="1" x14ac:dyDescent="0.3">
      <c r="F5" s="384" t="s">
        <v>187</v>
      </c>
      <c r="G5" s="385"/>
      <c r="H5" s="385"/>
      <c r="I5" s="385"/>
      <c r="J5" s="385"/>
      <c r="K5" s="385"/>
      <c r="L5" s="385"/>
      <c r="M5" s="385"/>
      <c r="N5" s="386"/>
      <c r="O5" s="387" t="s">
        <v>188</v>
      </c>
      <c r="P5" s="387"/>
      <c r="Q5" s="387"/>
      <c r="R5" s="387"/>
      <c r="S5" s="387"/>
      <c r="T5" s="387"/>
      <c r="U5" s="387"/>
      <c r="V5" s="387"/>
      <c r="W5" s="387"/>
      <c r="X5" s="387"/>
      <c r="Y5" s="388"/>
    </row>
    <row r="6" spans="1:25" s="31" customFormat="1" ht="15" customHeight="1" x14ac:dyDescent="0.3">
      <c r="F6" s="369" t="s">
        <v>189</v>
      </c>
      <c r="G6" s="371"/>
      <c r="H6" s="371"/>
      <c r="I6" s="371"/>
      <c r="J6" s="370"/>
      <c r="K6" s="369" t="s">
        <v>190</v>
      </c>
      <c r="L6" s="371"/>
      <c r="M6" s="371"/>
      <c r="N6" s="370"/>
      <c r="O6" s="60"/>
      <c r="P6" s="369" t="s">
        <v>191</v>
      </c>
      <c r="Q6" s="371"/>
      <c r="R6" s="371"/>
      <c r="S6" s="371"/>
      <c r="T6" s="371"/>
      <c r="U6" s="371"/>
      <c r="V6" s="370"/>
      <c r="W6" s="389" t="s">
        <v>192</v>
      </c>
      <c r="X6" s="390"/>
      <c r="Y6" s="391"/>
    </row>
    <row r="7" spans="1:25" s="42" customFormat="1" ht="90" x14ac:dyDescent="0.3">
      <c r="A7" s="39" t="s">
        <v>47</v>
      </c>
      <c r="B7" s="39" t="s">
        <v>133</v>
      </c>
      <c r="C7" s="39" t="s">
        <v>134</v>
      </c>
      <c r="D7" s="39" t="s">
        <v>193</v>
      </c>
      <c r="E7" s="39" t="s">
        <v>194</v>
      </c>
      <c r="F7" s="39" t="s">
        <v>195</v>
      </c>
      <c r="G7" s="40" t="s">
        <v>196</v>
      </c>
      <c r="H7" s="40" t="s">
        <v>197</v>
      </c>
      <c r="I7" s="40" t="s">
        <v>198</v>
      </c>
      <c r="J7" s="53" t="s">
        <v>199</v>
      </c>
      <c r="K7" s="39" t="s">
        <v>200</v>
      </c>
      <c r="L7" s="40" t="s">
        <v>201</v>
      </c>
      <c r="M7" s="40" t="s">
        <v>202</v>
      </c>
      <c r="N7" s="39" t="s">
        <v>203</v>
      </c>
      <c r="O7" s="53" t="s">
        <v>204</v>
      </c>
      <c r="P7" s="39" t="s">
        <v>205</v>
      </c>
      <c r="Q7" s="40" t="s">
        <v>206</v>
      </c>
      <c r="R7" s="40" t="s">
        <v>207</v>
      </c>
      <c r="S7" s="40" t="s">
        <v>208</v>
      </c>
      <c r="T7" s="40" t="s">
        <v>209</v>
      </c>
      <c r="U7" s="40" t="s">
        <v>168</v>
      </c>
      <c r="V7" s="39" t="s">
        <v>210</v>
      </c>
      <c r="W7" s="39" t="s">
        <v>211</v>
      </c>
      <c r="X7" s="39" t="s">
        <v>212</v>
      </c>
      <c r="Y7" s="38" t="s">
        <v>179</v>
      </c>
    </row>
    <row r="8" spans="1:25" s="42" customFormat="1" ht="15" x14ac:dyDescent="0.3">
      <c r="A8" s="124" t="str">
        <f>' Part B Format'!A8</f>
        <v>520101060006</v>
      </c>
      <c r="B8" s="112" t="str">
        <f>' Part B Format'!B8</f>
        <v>High School</v>
      </c>
      <c r="C8" s="280"/>
      <c r="D8" s="280"/>
      <c r="E8" s="280"/>
      <c r="F8" s="281"/>
      <c r="G8" s="281"/>
      <c r="H8" s="281"/>
      <c r="I8" s="281"/>
      <c r="J8" s="126">
        <f>SUM(F8:I8)</f>
        <v>0</v>
      </c>
      <c r="K8" s="58">
        <f>SUMIFS(('Data Form'!$L$6:$L$701), ('Data Form'!$G$6:$G$701),"I2",('Data Form'!$C$6:$C$701),"F",'Data Form'!$H$6:$H$701, "SL")</f>
        <v>0</v>
      </c>
      <c r="L8" s="58">
        <f>SUMIFS(('Data Form'!$L$6:$L$701), ('Data Form'!$G$6:$G$701),"I2",('Data Form'!$C$6:$C$701),"A",'Data Form'!$H$6:$H$701, "SL")</f>
        <v>0</v>
      </c>
      <c r="M8" s="58">
        <f>SUMIFS(('Data Form'!$L$6:$L$701), ('Data Form'!$G$6:$G$701),"I2",('Data Form'!$C$6:$C$701),"F",'Data Form'!$H$6:$H$701, "F")</f>
        <v>0</v>
      </c>
      <c r="N8" s="127">
        <f>SUM(K8:M8)</f>
        <v>0</v>
      </c>
      <c r="O8" s="281"/>
      <c r="P8" s="281"/>
      <c r="Q8" s="281"/>
      <c r="R8" s="281"/>
      <c r="S8" s="281"/>
      <c r="T8" s="281"/>
      <c r="U8" s="281"/>
      <c r="V8" s="127">
        <f>SUM(P8:U8)</f>
        <v>0</v>
      </c>
      <c r="W8" s="281"/>
      <c r="X8" s="280"/>
      <c r="Y8" s="287"/>
    </row>
    <row r="9" spans="1:25" s="42" customFormat="1" ht="15" x14ac:dyDescent="0.3">
      <c r="A9" s="124" t="str">
        <f>' Part B Format'!A9</f>
        <v>521010106005</v>
      </c>
      <c r="B9" s="112" t="str">
        <f>' Part B Format'!B9</f>
        <v>Middle School</v>
      </c>
      <c r="C9" s="280"/>
      <c r="D9" s="280"/>
      <c r="E9" s="280"/>
      <c r="F9" s="281"/>
      <c r="G9" s="281"/>
      <c r="H9" s="281"/>
      <c r="I9" s="281"/>
      <c r="J9" s="126">
        <f t="shared" ref="J9:J24" si="0">SUM(F9:I9)</f>
        <v>0</v>
      </c>
      <c r="K9" s="58">
        <f>SUMIFS(('Data Form'!$M$6:$M$701), ('Data Form'!$G$6:$G$701),"I2",('Data Form'!$C$6:$C$701),"F",'Data Form'!$H$6:$H$701, "SL")</f>
        <v>0</v>
      </c>
      <c r="L9" s="58">
        <f>SUMIFS(('Data Form'!$M$6:$M$701), ('Data Form'!$G$6:$G$701),"I2",('Data Form'!$C$6:$C$701),"A",'Data Form'!$H$6:$H$701, "SL")</f>
        <v>0</v>
      </c>
      <c r="M9" s="58">
        <f>SUMIFS(('Data Form'!$M$6:$M$701), ('Data Form'!$G$6:$G$701),"I2",('Data Form'!$C$6:$C$701),"F",'Data Form'!$H$6:$H$701, "F")</f>
        <v>0</v>
      </c>
      <c r="N9" s="127">
        <f t="shared" ref="N9:N24" si="1">SUM(K9:M9)</f>
        <v>0</v>
      </c>
      <c r="O9" s="281"/>
      <c r="P9" s="281"/>
      <c r="Q9" s="281"/>
      <c r="R9" s="281"/>
      <c r="S9" s="281"/>
      <c r="T9" s="281"/>
      <c r="U9" s="281"/>
      <c r="V9" s="127">
        <f t="shared" ref="V9:V24" si="2">SUM(P9:U9)</f>
        <v>0</v>
      </c>
      <c r="W9" s="281"/>
      <c r="X9" s="280"/>
      <c r="Y9" s="287"/>
    </row>
    <row r="10" spans="1:25" s="42" customFormat="1" ht="15" x14ac:dyDescent="0.3">
      <c r="A10" s="124" t="str">
        <f>' Part B Format'!A10</f>
        <v>521010106002</v>
      </c>
      <c r="B10" s="112" t="str">
        <f>' Part B Format'!B10</f>
        <v>Charlton Heights</v>
      </c>
      <c r="C10" s="280"/>
      <c r="D10" s="280"/>
      <c r="E10" s="280"/>
      <c r="F10" s="281"/>
      <c r="G10" s="281"/>
      <c r="H10" s="281"/>
      <c r="I10" s="281"/>
      <c r="J10" s="126">
        <f t="shared" si="0"/>
        <v>0</v>
      </c>
      <c r="K10" s="58">
        <f>SUMIFS(('Data Form'!$N$6:$N$701), ('Data Form'!$G$6:$G$701),"I2",('Data Form'!$C$6:$C$701),"F",'Data Form'!$H$6:$H$701, "SL")</f>
        <v>0</v>
      </c>
      <c r="L10" s="58">
        <f>SUMIFS(('Data Form'!$N$6:$N$701), ('Data Form'!$G$6:$G$701),"I2",('Data Form'!$C$6:$C$701),"A",'Data Form'!$H$6:$H$701, "SL")</f>
        <v>0</v>
      </c>
      <c r="M10" s="58">
        <f>SUMIFS(('Data Form'!$N$6:$N$701), ('Data Form'!$G$6:$G$701),"I2",('Data Form'!$C$6:$C$701),"F",'Data Form'!$H$6:$H$701, "F")</f>
        <v>0</v>
      </c>
      <c r="N10" s="127">
        <f t="shared" si="1"/>
        <v>0</v>
      </c>
      <c r="O10" s="281"/>
      <c r="P10" s="281"/>
      <c r="Q10" s="281"/>
      <c r="R10" s="281"/>
      <c r="S10" s="281"/>
      <c r="T10" s="281"/>
      <c r="U10" s="281"/>
      <c r="V10" s="127">
        <f t="shared" si="2"/>
        <v>0</v>
      </c>
      <c r="W10" s="281"/>
      <c r="X10" s="280"/>
      <c r="Y10" s="287"/>
    </row>
    <row r="11" spans="1:25" s="42" customFormat="1" ht="15" x14ac:dyDescent="0.3">
      <c r="A11" s="124" t="str">
        <f>' Part B Format'!A11</f>
        <v>521010106004</v>
      </c>
      <c r="B11" s="112" t="str">
        <f>' Part B Format'!B11</f>
        <v>Pashley</v>
      </c>
      <c r="C11" s="280"/>
      <c r="D11" s="280"/>
      <c r="E11" s="280"/>
      <c r="F11" s="281"/>
      <c r="G11" s="281"/>
      <c r="H11" s="281"/>
      <c r="I11" s="281"/>
      <c r="J11" s="126">
        <f t="shared" si="0"/>
        <v>0</v>
      </c>
      <c r="K11" s="58">
        <f>SUMIFS(('Data Form'!$O$6:$O$701), ('Data Form'!$G$6:$G$701),"I2",('Data Form'!$C$6:$C$701),"F",'Data Form'!$H$6:$H$701, "SL")</f>
        <v>0</v>
      </c>
      <c r="L11" s="58">
        <f>SUMIFS(('Data Form'!$O$6:$O$701), ('Data Form'!$G$6:$G$701),"I2",('Data Form'!$C$6:$C$701),"A",'Data Form'!$H$6:$H$701, "SL")</f>
        <v>0</v>
      </c>
      <c r="M11" s="58">
        <f>SUMIFS(('Data Form'!$O$6:$O$701), ('Data Form'!$G$6:$G$701),"I2",('Data Form'!$C$6:$C$701),"F",'Data Form'!$H$6:$H$701, "F")</f>
        <v>0</v>
      </c>
      <c r="N11" s="127">
        <f t="shared" si="1"/>
        <v>0</v>
      </c>
      <c r="O11" s="281"/>
      <c r="P11" s="281"/>
      <c r="Q11" s="281"/>
      <c r="R11" s="281"/>
      <c r="S11" s="281"/>
      <c r="T11" s="281"/>
      <c r="U11" s="281"/>
      <c r="V11" s="127">
        <f t="shared" si="2"/>
        <v>0</v>
      </c>
      <c r="W11" s="281"/>
      <c r="X11" s="280"/>
      <c r="Y11" s="287"/>
    </row>
    <row r="12" spans="1:25" s="42" customFormat="1" ht="15" x14ac:dyDescent="0.3">
      <c r="A12" s="124" t="str">
        <f>' Part B Format'!A12</f>
        <v>521010106001</v>
      </c>
      <c r="B12" s="112" t="str">
        <f>' Part B Format'!B12</f>
        <v>Stevens</v>
      </c>
      <c r="C12" s="280"/>
      <c r="D12" s="280"/>
      <c r="E12" s="280"/>
      <c r="F12" s="281"/>
      <c r="G12" s="281"/>
      <c r="H12" s="281"/>
      <c r="I12" s="281"/>
      <c r="J12" s="126">
        <f t="shared" si="0"/>
        <v>0</v>
      </c>
      <c r="K12" s="58">
        <f>SUMIFS(('Data Form'!$P$6:$P$701), ('Data Form'!$G$6:$G$701),"I2",('Data Form'!$C$6:$C$701),"F",'Data Form'!$H$6:$H$701, "SL")</f>
        <v>0</v>
      </c>
      <c r="L12" s="58">
        <f>SUMIFS(('Data Form'!$P$6:$P$701), ('Data Form'!$G$6:$G$701),"I2",('Data Form'!$C$6:$C$701),"A",'Data Form'!$H$6:$H$701, "SL")</f>
        <v>0</v>
      </c>
      <c r="M12" s="58">
        <f>SUMIFS(('Data Form'!$P$6:$P$701), ('Data Form'!$G$6:$G$701),"I2",('Data Form'!$C$6:$C$701),"F",'Data Form'!$H$6:$H$701, "F")</f>
        <v>0</v>
      </c>
      <c r="N12" s="127">
        <f t="shared" si="1"/>
        <v>0</v>
      </c>
      <c r="O12" s="281"/>
      <c r="P12" s="281"/>
      <c r="Q12" s="281"/>
      <c r="R12" s="281"/>
      <c r="S12" s="281"/>
      <c r="T12" s="281"/>
      <c r="U12" s="281"/>
      <c r="V12" s="127">
        <f t="shared" si="2"/>
        <v>0</v>
      </c>
      <c r="W12" s="281"/>
      <c r="X12" s="280"/>
      <c r="Y12" s="287"/>
    </row>
    <row r="13" spans="1:25" s="42" customFormat="1" ht="15" x14ac:dyDescent="0.3">
      <c r="A13" s="124">
        <f>' Part B Format'!A13</f>
        <v>0</v>
      </c>
      <c r="B13" s="112" t="str">
        <f>' Part B Format'!B13</f>
        <v>School #6</v>
      </c>
      <c r="C13" s="280"/>
      <c r="D13" s="280"/>
      <c r="E13" s="280"/>
      <c r="F13" s="281"/>
      <c r="G13" s="281"/>
      <c r="H13" s="281"/>
      <c r="I13" s="281"/>
      <c r="J13" s="126">
        <f t="shared" si="0"/>
        <v>0</v>
      </c>
      <c r="K13" s="58">
        <f>SUMIFS(('Data Form'!$Q$6:$Q$701), ('Data Form'!$G$6:$G$701),"I2",('Data Form'!$C$6:$C$701),"F",'Data Form'!$H$6:$H$701, "SL")</f>
        <v>0</v>
      </c>
      <c r="L13" s="58">
        <f>SUMIFS(('Data Form'!$Q$6:$Q$701), ('Data Form'!$G$6:$G$701),"I2",('Data Form'!$C$6:$C$701),"A",'Data Form'!$H$6:$H$701, "SL")</f>
        <v>0</v>
      </c>
      <c r="M13" s="58">
        <f>SUMIFS(('Data Form'!$Q$6:$Q$701), ('Data Form'!$G$6:$G$701),"I2",('Data Form'!$C$6:$C$701),"F",'Data Form'!$H$6:$H$701, "F")</f>
        <v>0</v>
      </c>
      <c r="N13" s="127">
        <f t="shared" si="1"/>
        <v>0</v>
      </c>
      <c r="O13" s="281"/>
      <c r="P13" s="281"/>
      <c r="Q13" s="281"/>
      <c r="R13" s="281"/>
      <c r="S13" s="281"/>
      <c r="T13" s="281"/>
      <c r="U13" s="281"/>
      <c r="V13" s="127">
        <f t="shared" si="2"/>
        <v>0</v>
      </c>
      <c r="W13" s="281"/>
      <c r="X13" s="280"/>
      <c r="Y13" s="287"/>
    </row>
    <row r="14" spans="1:25" s="42" customFormat="1" ht="15" x14ac:dyDescent="0.3">
      <c r="A14" s="124">
        <f>' Part B Format'!A14</f>
        <v>0</v>
      </c>
      <c r="B14" s="112" t="str">
        <f>' Part B Format'!B14</f>
        <v>School #7</v>
      </c>
      <c r="C14" s="280"/>
      <c r="D14" s="280"/>
      <c r="E14" s="280"/>
      <c r="F14" s="281"/>
      <c r="G14" s="281"/>
      <c r="H14" s="281"/>
      <c r="I14" s="281"/>
      <c r="J14" s="126">
        <f t="shared" si="0"/>
        <v>0</v>
      </c>
      <c r="K14" s="58">
        <f>SUMIFS(('Data Form'!$R$6:$R$701), ('Data Form'!$G$6:$G$701),"I2",('Data Form'!$C$6:$C$701),"F",'Data Form'!$H$6:$H$701, "SL")</f>
        <v>0</v>
      </c>
      <c r="L14" s="58">
        <f>SUMIFS(('Data Form'!$R$6:$R$701), ('Data Form'!$G$6:$G$701),"I2",('Data Form'!$C$6:$C$701),"A",'Data Form'!$H$6:$H$701, "SL")</f>
        <v>0</v>
      </c>
      <c r="M14" s="58">
        <f>SUMIFS(('Data Form'!$R$6:$R$701), ('Data Form'!$G$6:$G$701),"I2",('Data Form'!$C$6:$C$701),"F",'Data Form'!$H$6:$H$701, "F")</f>
        <v>0</v>
      </c>
      <c r="N14" s="127">
        <f t="shared" si="1"/>
        <v>0</v>
      </c>
      <c r="O14" s="281"/>
      <c r="P14" s="281"/>
      <c r="Q14" s="281"/>
      <c r="R14" s="281"/>
      <c r="S14" s="281"/>
      <c r="T14" s="281"/>
      <c r="U14" s="281"/>
      <c r="V14" s="127">
        <f t="shared" si="2"/>
        <v>0</v>
      </c>
      <c r="W14" s="281"/>
      <c r="X14" s="280"/>
      <c r="Y14" s="287"/>
    </row>
    <row r="15" spans="1:25" s="42" customFormat="1" ht="15" x14ac:dyDescent="0.3">
      <c r="A15" s="124">
        <f>' Part B Format'!A15</f>
        <v>0</v>
      </c>
      <c r="B15" s="112" t="str">
        <f>' Part B Format'!B15</f>
        <v>School #8</v>
      </c>
      <c r="C15" s="280"/>
      <c r="D15" s="280"/>
      <c r="E15" s="280"/>
      <c r="F15" s="281"/>
      <c r="G15" s="281"/>
      <c r="H15" s="281"/>
      <c r="I15" s="281"/>
      <c r="J15" s="126">
        <f t="shared" si="0"/>
        <v>0</v>
      </c>
      <c r="K15" s="58">
        <f>SUMIFS(('Data Form'!$S$6:$S$701), ('Data Form'!$G$6:$G$701),"I2",('Data Form'!$C$6:$C$701),"F",'Data Form'!$H$6:$H$701, "SL")</f>
        <v>0</v>
      </c>
      <c r="L15" s="58">
        <f>SUMIFS(('Data Form'!$S$6:$S$701), ('Data Form'!$G$6:$G$701),"I2",('Data Form'!$C$6:$C$701),"A",'Data Form'!$H$6:$H$701, "SL")</f>
        <v>0</v>
      </c>
      <c r="M15" s="58">
        <f>SUMIFS(('Data Form'!$S$6:$S$701), ('Data Form'!$G$6:$G$701),"I2",('Data Form'!$C$6:$C$701),"F",'Data Form'!$H$6:$H$701, "F")</f>
        <v>0</v>
      </c>
      <c r="N15" s="127">
        <f t="shared" si="1"/>
        <v>0</v>
      </c>
      <c r="O15" s="281"/>
      <c r="P15" s="281"/>
      <c r="Q15" s="281"/>
      <c r="R15" s="281"/>
      <c r="S15" s="281"/>
      <c r="T15" s="281"/>
      <c r="U15" s="281"/>
      <c r="V15" s="127">
        <f t="shared" si="2"/>
        <v>0</v>
      </c>
      <c r="W15" s="281"/>
      <c r="X15" s="280"/>
      <c r="Y15" s="287"/>
    </row>
    <row r="16" spans="1:25" s="42" customFormat="1" ht="15" x14ac:dyDescent="0.3">
      <c r="A16" s="124">
        <f>' Part B Format'!A16</f>
        <v>0</v>
      </c>
      <c r="B16" s="112" t="str">
        <f>' Part B Format'!B16</f>
        <v>School #9</v>
      </c>
      <c r="C16" s="280"/>
      <c r="D16" s="280"/>
      <c r="E16" s="280"/>
      <c r="F16" s="281"/>
      <c r="G16" s="281"/>
      <c r="H16" s="281"/>
      <c r="I16" s="281"/>
      <c r="J16" s="126">
        <f t="shared" si="0"/>
        <v>0</v>
      </c>
      <c r="K16" s="58">
        <f>SUMIFS(('Data Form'!$T$6:$T$701), ('Data Form'!$G$6:$G$701),"I2",('Data Form'!$C$6:$C$701),"F",'Data Form'!$H$6:$H$701, "SL")</f>
        <v>0</v>
      </c>
      <c r="L16" s="58">
        <f>SUMIFS(('Data Form'!$T$6:$T$701), ('Data Form'!$G$6:$G$701),"I2",('Data Form'!$C$6:$C$701),"A",'Data Form'!$H$6:$H$701, "SL")</f>
        <v>0</v>
      </c>
      <c r="M16" s="58">
        <f>SUMIFS(('Data Form'!$T$6:$T$701), ('Data Form'!$G$6:$G$701),"I2",('Data Form'!$C$6:$C$701),"F",'Data Form'!$H$6:$H$701, "F")</f>
        <v>0</v>
      </c>
      <c r="N16" s="127">
        <f t="shared" si="1"/>
        <v>0</v>
      </c>
      <c r="O16" s="281"/>
      <c r="P16" s="281"/>
      <c r="Q16" s="281"/>
      <c r="R16" s="281"/>
      <c r="S16" s="281"/>
      <c r="T16" s="281"/>
      <c r="U16" s="281"/>
      <c r="V16" s="127">
        <f t="shared" si="2"/>
        <v>0</v>
      </c>
      <c r="W16" s="281"/>
      <c r="X16" s="280"/>
      <c r="Y16" s="287"/>
    </row>
    <row r="17" spans="1:25" s="42" customFormat="1" ht="15" x14ac:dyDescent="0.3">
      <c r="A17" s="124">
        <f>' Part B Format'!A17</f>
        <v>0</v>
      </c>
      <c r="B17" s="112" t="str">
        <f>' Part B Format'!B17</f>
        <v>School #10</v>
      </c>
      <c r="C17" s="280"/>
      <c r="D17" s="280"/>
      <c r="E17" s="280"/>
      <c r="F17" s="281"/>
      <c r="G17" s="281"/>
      <c r="H17" s="281"/>
      <c r="I17" s="281"/>
      <c r="J17" s="126">
        <f t="shared" si="0"/>
        <v>0</v>
      </c>
      <c r="K17" s="58">
        <f>SUMIFS(('Data Form'!$U$6:$U$701), ('Data Form'!$G$6:$G$701),"I2",('Data Form'!$C$6:$C$701),"F",'Data Form'!$H$6:$H$701, "SL")</f>
        <v>0</v>
      </c>
      <c r="L17" s="58">
        <f>SUMIFS(('Data Form'!$U$6:$U$701), ('Data Form'!$G$6:$G$701),"I2",('Data Form'!$C$6:$C$701),"A",'Data Form'!$H$6:$H$701, "SL")</f>
        <v>0</v>
      </c>
      <c r="M17" s="58">
        <f>SUMIFS(('Data Form'!$U$6:$U$701), ('Data Form'!$G$6:$G$701),"I2",('Data Form'!$C$6:$C$701),"F",'Data Form'!$H$6:$H$701, "F")</f>
        <v>0</v>
      </c>
      <c r="N17" s="127">
        <f t="shared" si="1"/>
        <v>0</v>
      </c>
      <c r="O17" s="281"/>
      <c r="P17" s="281"/>
      <c r="Q17" s="281"/>
      <c r="R17" s="281"/>
      <c r="S17" s="281"/>
      <c r="T17" s="281"/>
      <c r="U17" s="281"/>
      <c r="V17" s="127">
        <f t="shared" si="2"/>
        <v>0</v>
      </c>
      <c r="W17" s="281"/>
      <c r="X17" s="280"/>
      <c r="Y17" s="287"/>
    </row>
    <row r="18" spans="1:25" s="42" customFormat="1" ht="15" x14ac:dyDescent="0.3">
      <c r="A18" s="124">
        <f>' Part B Format'!A18</f>
        <v>0</v>
      </c>
      <c r="B18" s="112" t="str">
        <f>' Part B Format'!B18</f>
        <v>School #11</v>
      </c>
      <c r="C18" s="280"/>
      <c r="D18" s="280"/>
      <c r="E18" s="280"/>
      <c r="F18" s="281"/>
      <c r="G18" s="281"/>
      <c r="H18" s="281"/>
      <c r="I18" s="281"/>
      <c r="J18" s="126">
        <f t="shared" si="0"/>
        <v>0</v>
      </c>
      <c r="K18" s="58">
        <f>SUMIFS(('Data Form'!$V$6:$V$701), ('Data Form'!$G$6:$G$701),"I2",('Data Form'!$C$6:$C$701),"F",'Data Form'!$H$6:$H$701, "SL")</f>
        <v>0</v>
      </c>
      <c r="L18" s="58">
        <f>SUMIFS(('Data Form'!$V$6:$V$701), ('Data Form'!$G$6:$G$701),"I2",('Data Form'!$C$6:$C$701),"A",'Data Form'!$H$6:$H$701, "SL")</f>
        <v>0</v>
      </c>
      <c r="M18" s="58">
        <f>SUMIFS(('Data Form'!$V$6:$V$701), ('Data Form'!$G$6:$G$701),"I2",('Data Form'!$C$6:$C$701),"F",'Data Form'!$H$6:$H$701, "F")</f>
        <v>0</v>
      </c>
      <c r="N18" s="127">
        <f t="shared" si="1"/>
        <v>0</v>
      </c>
      <c r="O18" s="281"/>
      <c r="P18" s="281"/>
      <c r="Q18" s="281"/>
      <c r="R18" s="281"/>
      <c r="S18" s="281"/>
      <c r="T18" s="281"/>
      <c r="U18" s="281"/>
      <c r="V18" s="127">
        <f t="shared" si="2"/>
        <v>0</v>
      </c>
      <c r="W18" s="281"/>
      <c r="X18" s="280"/>
      <c r="Y18" s="287"/>
    </row>
    <row r="19" spans="1:25" s="42" customFormat="1" ht="15" x14ac:dyDescent="0.3">
      <c r="A19" s="124">
        <f>' Part B Format'!A19</f>
        <v>0</v>
      </c>
      <c r="B19" s="112" t="str">
        <f>' Part B Format'!B19</f>
        <v>School #12</v>
      </c>
      <c r="C19" s="280"/>
      <c r="D19" s="280"/>
      <c r="E19" s="280"/>
      <c r="F19" s="281"/>
      <c r="G19" s="281"/>
      <c r="H19" s="281"/>
      <c r="I19" s="281"/>
      <c r="J19" s="126">
        <f t="shared" si="0"/>
        <v>0</v>
      </c>
      <c r="K19" s="58">
        <f>SUMIFS(('Data Form'!$W$6:$W$701), ('Data Form'!$G$6:$G$701),"I2",('Data Form'!$C$6:$C$701),"F",'Data Form'!$H$6:$H$701, "SL")</f>
        <v>0</v>
      </c>
      <c r="L19" s="58">
        <f>SUMIFS(('Data Form'!$W$6:$W$701), ('Data Form'!$G$6:$G$701),"I2",('Data Form'!$C$6:$C$701),"A",'Data Form'!$H$6:$H$701, "SL")</f>
        <v>0</v>
      </c>
      <c r="M19" s="58">
        <f>SUMIFS(('Data Form'!$W$6:$W$701), ('Data Form'!$G$6:$G$701),"I2",('Data Form'!$C$6:$C$701),"F",'Data Form'!$H$6:$H$701, "F")</f>
        <v>0</v>
      </c>
      <c r="N19" s="127">
        <f t="shared" si="1"/>
        <v>0</v>
      </c>
      <c r="O19" s="281"/>
      <c r="P19" s="281"/>
      <c r="Q19" s="281"/>
      <c r="R19" s="281"/>
      <c r="S19" s="281"/>
      <c r="T19" s="281"/>
      <c r="U19" s="281"/>
      <c r="V19" s="127">
        <f t="shared" si="2"/>
        <v>0</v>
      </c>
      <c r="W19" s="281"/>
      <c r="X19" s="280"/>
      <c r="Y19" s="287"/>
    </row>
    <row r="20" spans="1:25" s="42" customFormat="1" ht="15" x14ac:dyDescent="0.3">
      <c r="A20" s="124">
        <f>' Part B Format'!A20</f>
        <v>0</v>
      </c>
      <c r="B20" s="112" t="str">
        <f>' Part B Format'!B20</f>
        <v>School #13</v>
      </c>
      <c r="C20" s="280"/>
      <c r="D20" s="280"/>
      <c r="E20" s="280"/>
      <c r="F20" s="281"/>
      <c r="G20" s="281"/>
      <c r="H20" s="281"/>
      <c r="I20" s="281"/>
      <c r="J20" s="126">
        <f t="shared" si="0"/>
        <v>0</v>
      </c>
      <c r="K20" s="58">
        <f>SUMIFS(('Data Form'!$X$6:$X$701), ('Data Form'!$G$6:$G$701),"I2",('Data Form'!$C$6:$C$701),"F",'Data Form'!$H$6:$H$701, "SL")</f>
        <v>0</v>
      </c>
      <c r="L20" s="58">
        <f>SUMIFS(('Data Form'!$X$6:$X$701), ('Data Form'!$G$6:$G$701),"I2",('Data Form'!$C$6:$C$701),"A",'Data Form'!$H$6:$H$701, "SL")</f>
        <v>0</v>
      </c>
      <c r="M20" s="58">
        <f>SUMIFS(('Data Form'!$X$6:$X$701), ('Data Form'!$G$6:$G$701),"I2",('Data Form'!$C$6:$C$701),"F",'Data Form'!$H$6:$H$701, "F")</f>
        <v>0</v>
      </c>
      <c r="N20" s="127">
        <f t="shared" si="1"/>
        <v>0</v>
      </c>
      <c r="O20" s="281"/>
      <c r="P20" s="281"/>
      <c r="Q20" s="281"/>
      <c r="R20" s="281"/>
      <c r="S20" s="281"/>
      <c r="T20" s="281"/>
      <c r="U20" s="281"/>
      <c r="V20" s="127">
        <f t="shared" si="2"/>
        <v>0</v>
      </c>
      <c r="W20" s="281"/>
      <c r="X20" s="280"/>
      <c r="Y20" s="287"/>
    </row>
    <row r="21" spans="1:25" s="42" customFormat="1" ht="15" x14ac:dyDescent="0.3">
      <c r="A21" s="124">
        <f>' Part B Format'!A21</f>
        <v>0</v>
      </c>
      <c r="B21" s="112" t="str">
        <f>' Part B Format'!B21</f>
        <v>School #14</v>
      </c>
      <c r="C21" s="280"/>
      <c r="D21" s="280"/>
      <c r="E21" s="280"/>
      <c r="F21" s="281"/>
      <c r="G21" s="281"/>
      <c r="H21" s="281"/>
      <c r="I21" s="281"/>
      <c r="J21" s="126">
        <f t="shared" si="0"/>
        <v>0</v>
      </c>
      <c r="K21" s="58">
        <f>SUMIFS(('Data Form'!$Y$6:$Y$701), ('Data Form'!$G$6:$G$701),"I2",('Data Form'!$C$6:$C$701),"F",'Data Form'!$H$6:$H$701, "SL")</f>
        <v>0</v>
      </c>
      <c r="L21" s="58">
        <f>SUMIFS(('Data Form'!$Y$6:$Y$701), ('Data Form'!$G$6:$G$701),"I2",('Data Form'!$C$6:$C$701),"A",'Data Form'!$H$6:$H$701, "SL")</f>
        <v>0</v>
      </c>
      <c r="M21" s="58">
        <f>SUMIFS(('Data Form'!$Y$6:$Y$701), ('Data Form'!$G$6:$G$701),"I2",('Data Form'!$C$6:$C$701),"F",'Data Form'!$H$6:$H$701, "F")</f>
        <v>0</v>
      </c>
      <c r="N21" s="127">
        <f t="shared" si="1"/>
        <v>0</v>
      </c>
      <c r="O21" s="281"/>
      <c r="P21" s="281"/>
      <c r="Q21" s="281"/>
      <c r="R21" s="281"/>
      <c r="S21" s="281"/>
      <c r="T21" s="281"/>
      <c r="U21" s="281"/>
      <c r="V21" s="127">
        <f t="shared" si="2"/>
        <v>0</v>
      </c>
      <c r="W21" s="281"/>
      <c r="X21" s="280"/>
      <c r="Y21" s="287"/>
    </row>
    <row r="22" spans="1:25" s="31" customFormat="1" ht="15" customHeight="1" x14ac:dyDescent="0.3">
      <c r="A22" s="124">
        <f>' Part B Format'!A22</f>
        <v>0</v>
      </c>
      <c r="B22" s="112" t="str">
        <f>' Part B Format'!B22</f>
        <v>School #15</v>
      </c>
      <c r="C22" s="282"/>
      <c r="D22" s="283"/>
      <c r="E22" s="274"/>
      <c r="F22" s="284"/>
      <c r="G22" s="284"/>
      <c r="H22" s="284"/>
      <c r="I22" s="284"/>
      <c r="J22" s="126">
        <f t="shared" si="0"/>
        <v>0</v>
      </c>
      <c r="K22" s="58">
        <f>SUMIFS(('Data Form'!$Z$6:$Z$701), ('Data Form'!$G$6:$G$701),"I2",('Data Form'!$C$6:$C$701),"F",'Data Form'!$H$6:$H$701, "SL")</f>
        <v>0</v>
      </c>
      <c r="L22" s="58">
        <f>SUMIFS(('Data Form'!$Z$6:$Z$701), ('Data Form'!$G$6:$G$701),"I2",('Data Form'!$C$6:$C$701),"A",'Data Form'!$H$6:$H$701, "SL")</f>
        <v>0</v>
      </c>
      <c r="M22" s="58">
        <f>SUMIFS(('Data Form'!$Z$6:$Z$701), ('Data Form'!$G$6:$G$701),"I2",('Data Form'!$C$6:$C$701),"F",'Data Form'!$H$6:$H$701, "F")</f>
        <v>0</v>
      </c>
      <c r="N22" s="127">
        <f t="shared" si="1"/>
        <v>0</v>
      </c>
      <c r="O22" s="285"/>
      <c r="P22" s="286"/>
      <c r="Q22" s="286"/>
      <c r="R22" s="286"/>
      <c r="S22" s="286"/>
      <c r="T22" s="286"/>
      <c r="U22" s="286"/>
      <c r="V22" s="127">
        <f t="shared" si="2"/>
        <v>0</v>
      </c>
      <c r="W22" s="286"/>
      <c r="X22" s="288"/>
      <c r="Y22" s="286"/>
    </row>
    <row r="23" spans="1:25" s="31" customFormat="1" ht="15" x14ac:dyDescent="0.3">
      <c r="A23" s="124">
        <f>' Part B Format'!A23</f>
        <v>0</v>
      </c>
      <c r="B23" s="112" t="str">
        <f>' Part B Format'!B23</f>
        <v>School #16</v>
      </c>
      <c r="C23" s="282"/>
      <c r="D23" s="283"/>
      <c r="E23" s="274"/>
      <c r="F23" s="284"/>
      <c r="G23" s="284"/>
      <c r="H23" s="284"/>
      <c r="I23" s="284"/>
      <c r="J23" s="126">
        <f t="shared" si="0"/>
        <v>0</v>
      </c>
      <c r="K23" s="58">
        <f>SUMIFS(('Data Form'!$AA$6:$AA$701), ('Data Form'!$G$6:$G$701),"I2",('Data Form'!$C$6:$C$701),"F",'Data Form'!$H$6:$H$701, "SL")</f>
        <v>0</v>
      </c>
      <c r="L23" s="58">
        <f>SUMIFS(('Data Form'!$AA$6:$AA$701), ('Data Form'!$G$6:$G$701),"I2",('Data Form'!$C$6:$C$701),"A",'Data Form'!$H$6:$H$701, "SL")</f>
        <v>0</v>
      </c>
      <c r="M23" s="58">
        <f>SUMIFS(('Data Form'!$AA$6:$AA$701), ('Data Form'!$G$6:$G$701),"I2",('Data Form'!$C$6:$C$701),"F",'Data Form'!$H$6:$H$701, "F")</f>
        <v>0</v>
      </c>
      <c r="N23" s="127">
        <f t="shared" si="1"/>
        <v>0</v>
      </c>
      <c r="O23" s="285"/>
      <c r="P23" s="286"/>
      <c r="Q23" s="286"/>
      <c r="R23" s="286"/>
      <c r="S23" s="286"/>
      <c r="T23" s="286"/>
      <c r="U23" s="286"/>
      <c r="V23" s="127">
        <f t="shared" si="2"/>
        <v>0</v>
      </c>
      <c r="W23" s="286"/>
      <c r="X23" s="288"/>
      <c r="Y23" s="286"/>
    </row>
    <row r="24" spans="1:25" s="31" customFormat="1" ht="15" x14ac:dyDescent="0.3">
      <c r="A24" s="125">
        <f>' Part B Format'!A24</f>
        <v>0</v>
      </c>
      <c r="B24" s="114" t="str">
        <f>' Part B Format'!B24</f>
        <v>School #17</v>
      </c>
      <c r="C24" s="282"/>
      <c r="D24" s="283"/>
      <c r="E24" s="274"/>
      <c r="F24" s="284"/>
      <c r="G24" s="284"/>
      <c r="H24" s="284"/>
      <c r="I24" s="284"/>
      <c r="J24" s="126">
        <f t="shared" si="0"/>
        <v>0</v>
      </c>
      <c r="K24" s="58">
        <f>SUMIFS(('Data Form'!$AB$6:$AB$701), ('Data Form'!$G$6:$G$701),"I2",('Data Form'!$C$6:$C$701),"F",'Data Form'!$H$6:$H$701, "SL")</f>
        <v>0</v>
      </c>
      <c r="L24" s="58">
        <f>SUMIFS(('Data Form'!$AB$6:$AB$701), ('Data Form'!$G$6:$G$701),"I2",('Data Form'!$C$6:$C$701),"A",'Data Form'!$H$6:$H$701, "SL")</f>
        <v>0</v>
      </c>
      <c r="M24" s="58">
        <f>SUMIFS(('Data Form'!$AB$6:$AB$701), ('Data Form'!$G$6:$G$701),"I2",('Data Form'!$C$6:$C$701),"F",'Data Form'!$H$6:$H$701, "F")</f>
        <v>0</v>
      </c>
      <c r="N24" s="127">
        <f t="shared" si="1"/>
        <v>0</v>
      </c>
      <c r="O24" s="285"/>
      <c r="P24" s="286"/>
      <c r="Q24" s="286"/>
      <c r="R24" s="286"/>
      <c r="S24" s="286"/>
      <c r="T24" s="286"/>
      <c r="U24" s="286"/>
      <c r="V24" s="127">
        <f t="shared" si="2"/>
        <v>0</v>
      </c>
      <c r="W24" s="286"/>
      <c r="X24" s="288"/>
      <c r="Y24" s="286"/>
    </row>
    <row r="25" spans="1:25" s="31" customFormat="1" ht="15" customHeight="1" x14ac:dyDescent="0.3">
      <c r="A25" s="33" t="s">
        <v>213</v>
      </c>
      <c r="B25" s="33"/>
      <c r="C25" s="33"/>
      <c r="D25" s="33"/>
      <c r="E25" s="33"/>
      <c r="F25" s="37">
        <f>SUM(F8:F24)</f>
        <v>0</v>
      </c>
      <c r="G25" s="37">
        <f t="shared" ref="G25:Y25" si="3">SUM(G8:G24)</f>
        <v>0</v>
      </c>
      <c r="H25" s="37">
        <f t="shared" si="3"/>
        <v>0</v>
      </c>
      <c r="I25" s="37">
        <f t="shared" si="3"/>
        <v>0</v>
      </c>
      <c r="J25" s="37">
        <f t="shared" si="3"/>
        <v>0</v>
      </c>
      <c r="K25" s="37">
        <f t="shared" si="3"/>
        <v>0</v>
      </c>
      <c r="L25" s="37">
        <f t="shared" si="3"/>
        <v>0</v>
      </c>
      <c r="M25" s="37">
        <f t="shared" si="3"/>
        <v>0</v>
      </c>
      <c r="N25" s="37">
        <f t="shared" si="3"/>
        <v>0</v>
      </c>
      <c r="O25" s="37">
        <f t="shared" si="3"/>
        <v>0</v>
      </c>
      <c r="P25" s="37">
        <f t="shared" si="3"/>
        <v>0</v>
      </c>
      <c r="Q25" s="37">
        <f t="shared" si="3"/>
        <v>0</v>
      </c>
      <c r="R25" s="37">
        <f t="shared" si="3"/>
        <v>0</v>
      </c>
      <c r="S25" s="37">
        <f t="shared" si="3"/>
        <v>0</v>
      </c>
      <c r="T25" s="37">
        <f t="shared" si="3"/>
        <v>0</v>
      </c>
      <c r="U25" s="37">
        <f t="shared" si="3"/>
        <v>0</v>
      </c>
      <c r="V25" s="37">
        <f t="shared" si="3"/>
        <v>0</v>
      </c>
      <c r="W25" s="37">
        <f t="shared" si="3"/>
        <v>0</v>
      </c>
      <c r="X25" s="37">
        <f t="shared" si="3"/>
        <v>0</v>
      </c>
      <c r="Y25" s="37">
        <f t="shared" si="3"/>
        <v>0</v>
      </c>
    </row>
    <row r="26" spans="1:25" s="31" customFormat="1" ht="15" customHeight="1" x14ac:dyDescent="0.3">
      <c r="A26" s="33"/>
      <c r="B26" s="33"/>
      <c r="C26" s="33"/>
      <c r="D26" s="33"/>
      <c r="E26" s="33"/>
      <c r="F26" s="37"/>
      <c r="G26" s="37"/>
      <c r="H26" s="37"/>
      <c r="I26" s="37"/>
      <c r="J26" s="37"/>
      <c r="K26" s="59"/>
      <c r="L26" s="59"/>
      <c r="M26" s="59"/>
      <c r="N26" s="59"/>
      <c r="O26" s="61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s="31" customFormat="1" ht="15" customHeight="1" x14ac:dyDescent="0.3">
      <c r="D27" s="62"/>
      <c r="F27" s="33"/>
      <c r="I27" s="37"/>
    </row>
    <row r="28" spans="1:25" s="31" customFormat="1" ht="15" customHeight="1" x14ac:dyDescent="0.3">
      <c r="D28" s="62"/>
      <c r="E28" s="62"/>
      <c r="F28" s="369" t="s">
        <v>214</v>
      </c>
      <c r="G28" s="371"/>
      <c r="H28" s="371"/>
      <c r="I28" s="371"/>
      <c r="J28" s="370"/>
      <c r="K28" s="369" t="s">
        <v>215</v>
      </c>
      <c r="L28" s="371"/>
      <c r="M28" s="371"/>
      <c r="N28" s="370"/>
    </row>
    <row r="29" spans="1:25" s="31" customFormat="1" ht="45" x14ac:dyDescent="0.3">
      <c r="D29" s="62"/>
      <c r="E29" s="62" t="s">
        <v>216</v>
      </c>
      <c r="F29" s="63" t="s">
        <v>195</v>
      </c>
      <c r="G29" s="64" t="s">
        <v>196</v>
      </c>
      <c r="H29" s="64" t="s">
        <v>197</v>
      </c>
      <c r="I29" s="65" t="s">
        <v>198</v>
      </c>
      <c r="J29" s="55" t="s">
        <v>199</v>
      </c>
      <c r="K29" s="63" t="s">
        <v>200</v>
      </c>
      <c r="L29" s="64" t="s">
        <v>212</v>
      </c>
      <c r="M29" s="65" t="s">
        <v>217</v>
      </c>
      <c r="N29" s="38" t="s">
        <v>203</v>
      </c>
    </row>
    <row r="30" spans="1:25" s="31" customFormat="1" ht="15" customHeight="1" x14ac:dyDescent="0.3">
      <c r="A30" s="31" t="s">
        <v>218</v>
      </c>
      <c r="E30" s="289">
        <v>0</v>
      </c>
      <c r="F30" s="290">
        <v>0</v>
      </c>
      <c r="G30" s="290">
        <v>0</v>
      </c>
      <c r="H30" s="290">
        <v>0</v>
      </c>
      <c r="I30" s="290">
        <v>0</v>
      </c>
      <c r="J30" s="36">
        <f>SUM(F30:I30)</f>
        <v>0</v>
      </c>
      <c r="K30" s="58">
        <f>SUMIFS(('Data Form'!$I$6:$I$701), ('Data Form'!$E$6:$E$701),"C4",('Data Form'!$C$6:$C$701),"F",'Data Form'!$H$6:$H$701, "SL")</f>
        <v>0</v>
      </c>
      <c r="L30" s="58">
        <f>SUMIFS(('Data Form'!$I$6:$I$701), ('Data Form'!$E$6:$E$701),"C4",('Data Form'!$C$6:$C$701),"A",'Data Form'!$H$6:$H$701, "SL")</f>
        <v>0</v>
      </c>
      <c r="M30" s="58">
        <f>SUMIFS(('Data Form'!$I$6:$I$701), ('Data Form'!$E$6:$E$701),"C4",('Data Form'!$C$6:$C$701),"F",'Data Form'!$H$6:$H$701, "F")</f>
        <v>0</v>
      </c>
      <c r="N30" s="58">
        <f>SUM(K30:M30)</f>
        <v>0</v>
      </c>
    </row>
    <row r="31" spans="1:25" s="31" customFormat="1" ht="15" customHeight="1" x14ac:dyDescent="0.3">
      <c r="F31" s="66"/>
      <c r="G31" s="66"/>
      <c r="H31" s="66"/>
      <c r="I31" s="66"/>
      <c r="J31" s="66"/>
      <c r="K31" s="67"/>
      <c r="L31" s="67"/>
      <c r="M31" s="67"/>
      <c r="N31" s="67"/>
    </row>
    <row r="32" spans="1:25" s="31" customFormat="1" ht="15" customHeight="1" x14ac:dyDescent="0.3">
      <c r="A32" s="33" t="s">
        <v>219</v>
      </c>
      <c r="B32" s="33"/>
      <c r="C32" s="33"/>
      <c r="D32" s="33"/>
      <c r="E32" s="33"/>
      <c r="F32" s="37">
        <f t="shared" ref="F32:N32" si="4">F25+F30</f>
        <v>0</v>
      </c>
      <c r="G32" s="37">
        <f t="shared" si="4"/>
        <v>0</v>
      </c>
      <c r="H32" s="37">
        <f t="shared" si="4"/>
        <v>0</v>
      </c>
      <c r="I32" s="37">
        <f t="shared" si="4"/>
        <v>0</v>
      </c>
      <c r="J32" s="37">
        <f t="shared" si="4"/>
        <v>0</v>
      </c>
      <c r="K32" s="59">
        <f t="shared" si="4"/>
        <v>0</v>
      </c>
      <c r="L32" s="59">
        <f t="shared" si="4"/>
        <v>0</v>
      </c>
      <c r="M32" s="59">
        <f t="shared" si="4"/>
        <v>0</v>
      </c>
      <c r="N32" s="59">
        <f t="shared" si="4"/>
        <v>0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4" spans="8:10" ht="18" thickBot="1" x14ac:dyDescent="0.4">
      <c r="I34" s="108" t="s">
        <v>394</v>
      </c>
    </row>
    <row r="35" spans="8:10" ht="17.25" thickBot="1" x14ac:dyDescent="0.35">
      <c r="H35" s="131" t="s">
        <v>431</v>
      </c>
      <c r="J35" s="130">
        <f>'Part A Format'!F36</f>
        <v>0</v>
      </c>
    </row>
    <row r="36" spans="8:10" x14ac:dyDescent="0.3">
      <c r="H36" s="32" t="s">
        <v>432</v>
      </c>
    </row>
    <row r="37" spans="8:10" x14ac:dyDescent="0.3">
      <c r="H37" s="32" t="s">
        <v>433</v>
      </c>
    </row>
  </sheetData>
  <sheetProtection algorithmName="SHA-512" hashValue="8Z8ptbPTRN9ASjNamFsAS6nyG8p+i3NlJgUmgTVViHGtSwjUpAUt9u+gTAnC+m2Wr+cHKPwd95l9K6imz5ycGg==" saltValue="CiWewEMqK4hh/wrd5novUw==" spinCount="100000" sheet="1" objects="1" scenarios="1"/>
  <mergeCells count="8">
    <mergeCell ref="F28:J28"/>
    <mergeCell ref="K28:N28"/>
    <mergeCell ref="F5:N5"/>
    <mergeCell ref="O5:Y5"/>
    <mergeCell ref="F6:J6"/>
    <mergeCell ref="K6:N6"/>
    <mergeCell ref="P6:V6"/>
    <mergeCell ref="W6:Y6"/>
  </mergeCells>
  <pageMargins left="0.7" right="0.7" top="0.75" bottom="0.75" header="0.3" footer="0.3"/>
  <pageSetup paperSize="3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77B-5370-4303-86EA-8FA843D3EE33}">
  <sheetPr>
    <tabColor rgb="FF00B0F0"/>
    <pageSetUpPr fitToPage="1"/>
  </sheetPr>
  <dimension ref="A1:J25"/>
  <sheetViews>
    <sheetView workbookViewId="0">
      <selection activeCell="A17" sqref="A17"/>
    </sheetView>
  </sheetViews>
  <sheetFormatPr defaultColWidth="9.140625" defaultRowHeight="16.5" x14ac:dyDescent="0.3"/>
  <cols>
    <col min="1" max="1" width="15.140625" style="32" customWidth="1"/>
    <col min="2" max="2" width="42" style="32" customWidth="1"/>
    <col min="3" max="3" width="17.7109375" style="32" customWidth="1"/>
    <col min="4" max="5" width="15.28515625" style="32" customWidth="1"/>
    <col min="6" max="6" width="11.7109375" style="32" customWidth="1"/>
    <col min="7" max="7" width="11.7109375" customWidth="1"/>
    <col min="8" max="8" width="24.42578125" style="32" bestFit="1" customWidth="1"/>
    <col min="9" max="9" width="12.5703125" style="32" customWidth="1"/>
    <col min="10" max="10" width="12.85546875" style="32" customWidth="1"/>
    <col min="11" max="16384" width="9.140625" style="32"/>
  </cols>
  <sheetData>
    <row r="1" spans="1:10" customFormat="1" ht="18.75" thickBot="1" x14ac:dyDescent="0.4">
      <c r="A1" s="30" t="s">
        <v>220</v>
      </c>
      <c r="B1" s="32"/>
      <c r="C1" s="32"/>
      <c r="D1" s="32"/>
      <c r="E1" s="32"/>
    </row>
    <row r="2" spans="1:10" s="31" customFormat="1" ht="15" customHeight="1" x14ac:dyDescent="0.3">
      <c r="A2" s="68" t="s">
        <v>221</v>
      </c>
      <c r="E2" s="292" t="s">
        <v>153</v>
      </c>
      <c r="G2" s="115" t="s">
        <v>419</v>
      </c>
      <c r="H2" s="116"/>
      <c r="I2" s="116"/>
      <c r="J2" s="117"/>
    </row>
    <row r="3" spans="1:10" s="31" customFormat="1" ht="15" customHeight="1" x14ac:dyDescent="0.3">
      <c r="A3" s="47" t="s">
        <v>156</v>
      </c>
      <c r="B3" s="48"/>
      <c r="C3" s="49"/>
      <c r="G3" s="118" t="s">
        <v>420</v>
      </c>
      <c r="H3" s="119"/>
      <c r="I3" s="119"/>
      <c r="J3" s="120"/>
    </row>
    <row r="4" spans="1:10" s="31" customFormat="1" ht="15" customHeight="1" x14ac:dyDescent="0.3">
      <c r="G4" s="118" t="s">
        <v>421</v>
      </c>
      <c r="H4" s="119"/>
      <c r="I4" s="119"/>
      <c r="J4" s="120"/>
    </row>
    <row r="5" spans="1:10" s="31" customFormat="1" ht="15" customHeight="1" thickBot="1" x14ac:dyDescent="0.35">
      <c r="G5" s="121" t="s">
        <v>422</v>
      </c>
      <c r="H5" s="122"/>
      <c r="I5" s="122"/>
      <c r="J5" s="123"/>
    </row>
    <row r="6" spans="1:10" s="33" customFormat="1" ht="15" customHeight="1" x14ac:dyDescent="0.3"/>
    <row r="7" spans="1:10" s="42" customFormat="1" ht="60" x14ac:dyDescent="0.3">
      <c r="A7" s="39" t="s">
        <v>47</v>
      </c>
      <c r="B7" s="39" t="s">
        <v>133</v>
      </c>
      <c r="C7" s="39" t="s">
        <v>134</v>
      </c>
      <c r="D7" s="39" t="s">
        <v>222</v>
      </c>
      <c r="E7" s="38" t="s">
        <v>223</v>
      </c>
      <c r="F7" s="38" t="s">
        <v>28</v>
      </c>
      <c r="G7" s="38" t="s">
        <v>224</v>
      </c>
      <c r="H7" s="38" t="s">
        <v>225</v>
      </c>
      <c r="I7" s="38" t="s">
        <v>226</v>
      </c>
      <c r="J7" s="38" t="s">
        <v>227</v>
      </c>
    </row>
    <row r="8" spans="1:10" s="42" customFormat="1" ht="15" x14ac:dyDescent="0.3">
      <c r="A8" s="111" t="str">
        <f>' Part B Format'!A8</f>
        <v>520101060006</v>
      </c>
      <c r="B8" s="112" t="str">
        <f>' Part B Format'!B8</f>
        <v>High School</v>
      </c>
      <c r="C8" s="280"/>
      <c r="D8" s="280"/>
      <c r="E8" s="287"/>
      <c r="F8" s="287"/>
      <c r="G8" s="287"/>
      <c r="H8" s="287"/>
      <c r="I8" s="287"/>
      <c r="J8" s="287"/>
    </row>
    <row r="9" spans="1:10" s="42" customFormat="1" ht="15" x14ac:dyDescent="0.3">
      <c r="A9" s="111" t="str">
        <f>' Part B Format'!A9</f>
        <v>521010106005</v>
      </c>
      <c r="B9" s="112" t="str">
        <f>' Part B Format'!B9</f>
        <v>Middle School</v>
      </c>
      <c r="C9" s="280"/>
      <c r="D9" s="280"/>
      <c r="E9" s="287"/>
      <c r="F9" s="287"/>
      <c r="G9" s="287"/>
      <c r="H9" s="287"/>
      <c r="I9" s="287"/>
      <c r="J9" s="287"/>
    </row>
    <row r="10" spans="1:10" s="42" customFormat="1" ht="15" x14ac:dyDescent="0.3">
      <c r="A10" s="111" t="str">
        <f>' Part B Format'!A10</f>
        <v>521010106002</v>
      </c>
      <c r="B10" s="112" t="str">
        <f>' Part B Format'!B10</f>
        <v>Charlton Heights</v>
      </c>
      <c r="C10" s="280"/>
      <c r="D10" s="280"/>
      <c r="E10" s="287"/>
      <c r="F10" s="287"/>
      <c r="G10" s="287"/>
      <c r="H10" s="287"/>
      <c r="I10" s="287"/>
      <c r="J10" s="287"/>
    </row>
    <row r="11" spans="1:10" s="42" customFormat="1" ht="15" x14ac:dyDescent="0.3">
      <c r="A11" s="111" t="str">
        <f>' Part B Format'!A11</f>
        <v>521010106004</v>
      </c>
      <c r="B11" s="112" t="str">
        <f>' Part B Format'!B11</f>
        <v>Pashley</v>
      </c>
      <c r="C11" s="280"/>
      <c r="D11" s="280"/>
      <c r="E11" s="287"/>
      <c r="F11" s="287"/>
      <c r="G11" s="287"/>
      <c r="H11" s="287"/>
      <c r="I11" s="287"/>
      <c r="J11" s="287"/>
    </row>
    <row r="12" spans="1:10" s="42" customFormat="1" ht="15" x14ac:dyDescent="0.3">
      <c r="A12" s="111" t="str">
        <f>' Part B Format'!A12</f>
        <v>521010106001</v>
      </c>
      <c r="B12" s="112" t="str">
        <f>' Part B Format'!B12</f>
        <v>Stevens</v>
      </c>
      <c r="C12" s="280"/>
      <c r="D12" s="280"/>
      <c r="E12" s="287"/>
      <c r="F12" s="287"/>
      <c r="G12" s="287"/>
      <c r="H12" s="287"/>
      <c r="I12" s="287"/>
      <c r="J12" s="287"/>
    </row>
    <row r="13" spans="1:10" s="42" customFormat="1" ht="15" x14ac:dyDescent="0.3">
      <c r="A13" s="111">
        <f>' Part B Format'!A13</f>
        <v>0</v>
      </c>
      <c r="B13" s="112" t="str">
        <f>' Part B Format'!B13</f>
        <v>School #6</v>
      </c>
      <c r="C13" s="280"/>
      <c r="D13" s="280"/>
      <c r="E13" s="287"/>
      <c r="F13" s="287"/>
      <c r="G13" s="287"/>
      <c r="H13" s="287"/>
      <c r="I13" s="287"/>
      <c r="J13" s="287"/>
    </row>
    <row r="14" spans="1:10" s="42" customFormat="1" ht="15" x14ac:dyDescent="0.3">
      <c r="A14" s="111">
        <f>' Part B Format'!A14</f>
        <v>0</v>
      </c>
      <c r="B14" s="112" t="str">
        <f>' Part B Format'!B14</f>
        <v>School #7</v>
      </c>
      <c r="C14" s="280"/>
      <c r="D14" s="280"/>
      <c r="E14" s="287"/>
      <c r="F14" s="287"/>
      <c r="G14" s="287"/>
      <c r="H14" s="287"/>
      <c r="I14" s="287"/>
      <c r="J14" s="287"/>
    </row>
    <row r="15" spans="1:10" s="42" customFormat="1" ht="15" x14ac:dyDescent="0.3">
      <c r="A15" s="111">
        <f>' Part B Format'!A15</f>
        <v>0</v>
      </c>
      <c r="B15" s="112" t="str">
        <f>' Part B Format'!B15</f>
        <v>School #8</v>
      </c>
      <c r="C15" s="280"/>
      <c r="D15" s="280"/>
      <c r="E15" s="287"/>
      <c r="F15" s="287"/>
      <c r="G15" s="287"/>
      <c r="H15" s="287"/>
      <c r="I15" s="287"/>
      <c r="J15" s="287"/>
    </row>
    <row r="16" spans="1:10" s="42" customFormat="1" ht="15" x14ac:dyDescent="0.3">
      <c r="A16" s="111">
        <f>' Part B Format'!A16</f>
        <v>0</v>
      </c>
      <c r="B16" s="112" t="str">
        <f>' Part B Format'!B16</f>
        <v>School #9</v>
      </c>
      <c r="C16" s="280"/>
      <c r="D16" s="280"/>
      <c r="E16" s="287"/>
      <c r="F16" s="287"/>
      <c r="G16" s="287"/>
      <c r="H16" s="287"/>
      <c r="I16" s="287"/>
      <c r="J16" s="287"/>
    </row>
    <row r="17" spans="1:10" s="42" customFormat="1" ht="15" x14ac:dyDescent="0.3">
      <c r="A17" s="111">
        <f>' Part B Format'!A17</f>
        <v>0</v>
      </c>
      <c r="B17" s="112" t="str">
        <f>' Part B Format'!B17</f>
        <v>School #10</v>
      </c>
      <c r="C17" s="280"/>
      <c r="D17" s="280"/>
      <c r="E17" s="287"/>
      <c r="F17" s="287"/>
      <c r="G17" s="287"/>
      <c r="H17" s="287"/>
      <c r="I17" s="287"/>
      <c r="J17" s="287"/>
    </row>
    <row r="18" spans="1:10" s="42" customFormat="1" ht="15" x14ac:dyDescent="0.3">
      <c r="A18" s="111">
        <f>' Part B Format'!A18</f>
        <v>0</v>
      </c>
      <c r="B18" s="112" t="str">
        <f>' Part B Format'!B18</f>
        <v>School #11</v>
      </c>
      <c r="C18" s="280"/>
      <c r="D18" s="280"/>
      <c r="E18" s="287"/>
      <c r="F18" s="287"/>
      <c r="G18" s="287"/>
      <c r="H18" s="287"/>
      <c r="I18" s="287"/>
      <c r="J18" s="287"/>
    </row>
    <row r="19" spans="1:10" s="42" customFormat="1" ht="15" x14ac:dyDescent="0.3">
      <c r="A19" s="111">
        <f>' Part B Format'!A19</f>
        <v>0</v>
      </c>
      <c r="B19" s="112" t="str">
        <f>' Part B Format'!B19</f>
        <v>School #12</v>
      </c>
      <c r="C19" s="280"/>
      <c r="D19" s="280"/>
      <c r="E19" s="287"/>
      <c r="F19" s="287"/>
      <c r="G19" s="287"/>
      <c r="H19" s="287"/>
      <c r="I19" s="287"/>
      <c r="J19" s="287"/>
    </row>
    <row r="20" spans="1:10" s="42" customFormat="1" ht="15" x14ac:dyDescent="0.3">
      <c r="A20" s="111">
        <f>' Part B Format'!A20</f>
        <v>0</v>
      </c>
      <c r="B20" s="112" t="str">
        <f>' Part B Format'!B20</f>
        <v>School #13</v>
      </c>
      <c r="C20" s="280"/>
      <c r="D20" s="280"/>
      <c r="E20" s="287"/>
      <c r="F20" s="287"/>
      <c r="G20" s="287"/>
      <c r="H20" s="287"/>
      <c r="I20" s="287"/>
      <c r="J20" s="287"/>
    </row>
    <row r="21" spans="1:10" s="42" customFormat="1" ht="15" x14ac:dyDescent="0.3">
      <c r="A21" s="111">
        <f>' Part B Format'!A21</f>
        <v>0</v>
      </c>
      <c r="B21" s="112" t="str">
        <f>' Part B Format'!B21</f>
        <v>School #14</v>
      </c>
      <c r="C21" s="280"/>
      <c r="D21" s="280"/>
      <c r="E21" s="287"/>
      <c r="F21" s="287"/>
      <c r="G21" s="287"/>
      <c r="H21" s="287"/>
      <c r="I21" s="287"/>
      <c r="J21" s="287"/>
    </row>
    <row r="22" spans="1:10" s="31" customFormat="1" ht="15" customHeight="1" x14ac:dyDescent="0.3">
      <c r="A22" s="111">
        <f>' Part B Format'!A22</f>
        <v>0</v>
      </c>
      <c r="B22" s="112" t="str">
        <f>' Part B Format'!B22</f>
        <v>School #15</v>
      </c>
      <c r="C22" s="282"/>
      <c r="D22" s="288"/>
      <c r="E22" s="286"/>
      <c r="F22" s="286"/>
      <c r="G22" s="291"/>
      <c r="H22" s="286"/>
      <c r="I22" s="291"/>
      <c r="J22" s="286"/>
    </row>
    <row r="23" spans="1:10" s="31" customFormat="1" ht="15" x14ac:dyDescent="0.3">
      <c r="A23" s="111">
        <f>' Part B Format'!A23</f>
        <v>0</v>
      </c>
      <c r="B23" s="112" t="str">
        <f>' Part B Format'!B23</f>
        <v>School #16</v>
      </c>
      <c r="C23" s="282"/>
      <c r="D23" s="288"/>
      <c r="E23" s="286"/>
      <c r="F23" s="286"/>
      <c r="G23" s="291"/>
      <c r="H23" s="286"/>
      <c r="I23" s="291"/>
      <c r="J23" s="286"/>
    </row>
    <row r="24" spans="1:10" s="31" customFormat="1" ht="15" x14ac:dyDescent="0.3">
      <c r="A24" s="113">
        <f>' Part B Format'!A24</f>
        <v>0</v>
      </c>
      <c r="B24" s="114" t="str">
        <f>' Part B Format'!B24</f>
        <v>School #17</v>
      </c>
      <c r="C24" s="282"/>
      <c r="D24" s="288"/>
      <c r="E24" s="286"/>
      <c r="F24" s="286"/>
      <c r="G24" s="291"/>
      <c r="H24" s="286"/>
      <c r="I24" s="291"/>
      <c r="J24" s="286"/>
    </row>
    <row r="25" spans="1:10" s="31" customFormat="1" ht="15" customHeight="1" x14ac:dyDescent="0.3">
      <c r="A25" s="33" t="s">
        <v>154</v>
      </c>
      <c r="B25" s="33"/>
      <c r="C25" s="33"/>
      <c r="D25" s="59">
        <f>SUM(D8:D24)</f>
        <v>0</v>
      </c>
      <c r="E25" s="59">
        <f t="shared" ref="E25:J25" si="0">SUM(E8:E24)</f>
        <v>0</v>
      </c>
      <c r="F25" s="59">
        <f t="shared" si="0"/>
        <v>0</v>
      </c>
      <c r="G25" s="69"/>
      <c r="H25" s="59">
        <f t="shared" si="0"/>
        <v>0</v>
      </c>
      <c r="I25" s="69"/>
      <c r="J25" s="59">
        <f t="shared" si="0"/>
        <v>0</v>
      </c>
    </row>
  </sheetData>
  <sheetProtection algorithmName="SHA-512" hashValue="8xjwlXkEs1Qhzi+T5RmvlSEYpCaNgiGwUZy2V6nX3WdhdB60mvd4QH3LlnesFXsidXM0YOxmMwM/ihpdG7nJnw==" saltValue="J7sxtTnTavBHris1teM80w==" spinCount="100000" sheet="1" objects="1" scenarios="1"/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Data Form</vt:lpstr>
      <vt:lpstr>Fringe Benefits</vt:lpstr>
      <vt:lpstr>Summary Data Part A</vt:lpstr>
      <vt:lpstr>Summary Data Part C</vt:lpstr>
      <vt:lpstr>Part A Format</vt:lpstr>
      <vt:lpstr> Part B Format</vt:lpstr>
      <vt:lpstr>Part C Format</vt:lpstr>
      <vt:lpstr>Part D Format</vt:lpstr>
      <vt:lpstr>Part E Format</vt:lpstr>
      <vt:lpstr>Funding</vt:lpstr>
      <vt:lpstr>General</vt:lpstr>
      <vt:lpstr>Object</vt:lpstr>
      <vt:lpstr>'Summary Data Part A'!Print_Area</vt:lpstr>
      <vt:lpstr>Purpose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Morrison</dc:creator>
  <cp:lastModifiedBy>Brenda Kane</cp:lastModifiedBy>
  <cp:lastPrinted>2020-09-03T18:40:42Z</cp:lastPrinted>
  <dcterms:created xsi:type="dcterms:W3CDTF">2020-01-14T15:55:51Z</dcterms:created>
  <dcterms:modified xsi:type="dcterms:W3CDTF">2020-09-28T18:38:18Z</dcterms:modified>
</cp:coreProperties>
</file>